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F63F06F-A8FB-4DD9-ABB9-1FF5BDD34A9F}" xr6:coauthVersionLast="47" xr6:coauthVersionMax="47" xr10:uidLastSave="{00000000-0000-0000-0000-000000000000}"/>
  <bookViews>
    <workbookView xWindow="28680" yWindow="1590" windowWidth="29040" windowHeight="15720" tabRatio="712" xr2:uid="{00000000-000D-0000-FFFF-FFFF00000000}"/>
  </bookViews>
  <sheets>
    <sheet name="Notes - A lire" sheetId="20" r:id="rId1"/>
    <sheet name="Données Figure 2" sheetId="21" r:id="rId2"/>
    <sheet name="Note Méthodologique" sheetId="34" r:id="rId3"/>
    <sheet name="Données Figure 3" sheetId="22" r:id="rId4"/>
    <sheet name="Données Figure 4" sheetId="47" r:id="rId5"/>
    <sheet name="Données Figure 5" sheetId="36" r:id="rId6"/>
    <sheet name="Données Figure 6" sheetId="49" r:id="rId7"/>
    <sheet name="Données Figure 7" sheetId="25" r:id="rId8"/>
    <sheet name="Données Tableau 2" sheetId="26" r:id="rId9"/>
    <sheet name="Données MCC" sheetId="46" r:id="rId10"/>
    <sheet name="Données Tableau 3" sheetId="39" r:id="rId11"/>
    <sheet name="Données Tableau 4" sheetId="40" r:id="rId12"/>
    <sheet name="Données Tableau 5" sheetId="43" r:id="rId13"/>
    <sheet name="Données Tableau 6" sheetId="4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4" i="49" l="1"/>
  <c r="O14" i="49"/>
  <c r="N14" i="49"/>
  <c r="L14" i="49"/>
  <c r="K14" i="49"/>
  <c r="J14" i="49"/>
  <c r="H14" i="49"/>
  <c r="G14" i="49"/>
  <c r="F14" i="49"/>
  <c r="P13" i="49"/>
  <c r="O13" i="49"/>
  <c r="N13" i="49"/>
  <c r="L13" i="49"/>
  <c r="K13" i="49"/>
  <c r="J13" i="49"/>
  <c r="H13" i="49"/>
  <c r="G13" i="49"/>
  <c r="F13" i="49"/>
  <c r="P12" i="49"/>
  <c r="O12" i="49"/>
  <c r="N12" i="49"/>
  <c r="L12" i="49"/>
  <c r="K12" i="49"/>
  <c r="J12" i="49"/>
  <c r="H12" i="49"/>
  <c r="G12" i="49"/>
  <c r="F12" i="49"/>
  <c r="P11" i="49"/>
  <c r="O11" i="49"/>
  <c r="N11" i="49"/>
  <c r="L11" i="49"/>
  <c r="K11" i="49"/>
  <c r="J11" i="49"/>
  <c r="H11" i="49"/>
  <c r="G11" i="49"/>
  <c r="F11" i="49"/>
  <c r="P10" i="49"/>
  <c r="O10" i="49"/>
  <c r="N10" i="49"/>
  <c r="L10" i="49"/>
  <c r="K10" i="49"/>
  <c r="J10" i="49"/>
  <c r="H10" i="49"/>
  <c r="G10" i="49"/>
  <c r="F10" i="49"/>
  <c r="P9" i="49"/>
  <c r="O9" i="49"/>
  <c r="N9" i="49"/>
  <c r="L9" i="49"/>
  <c r="K9" i="49"/>
  <c r="J9" i="49"/>
  <c r="H9" i="49"/>
  <c r="G9" i="49"/>
  <c r="F9" i="49"/>
  <c r="P8" i="49"/>
  <c r="O8" i="49"/>
  <c r="N8" i="49"/>
  <c r="L8" i="49"/>
  <c r="K8" i="49"/>
  <c r="J8" i="49"/>
  <c r="H8" i="49"/>
  <c r="G8" i="49"/>
  <c r="F8" i="49"/>
  <c r="P7" i="49"/>
  <c r="O7" i="49"/>
  <c r="N7" i="49"/>
  <c r="L7" i="49"/>
  <c r="K7" i="49"/>
  <c r="J7" i="49"/>
  <c r="H7" i="49"/>
  <c r="G7" i="49"/>
  <c r="F7" i="49"/>
  <c r="P6" i="49"/>
  <c r="O6" i="49"/>
  <c r="N6" i="49"/>
  <c r="L6" i="49"/>
  <c r="K6" i="49"/>
  <c r="J6" i="49"/>
  <c r="H6" i="49"/>
  <c r="G6" i="49"/>
  <c r="F6" i="49"/>
  <c r="P5" i="49"/>
  <c r="O5" i="49"/>
  <c r="N5" i="49"/>
  <c r="L5" i="49"/>
  <c r="K5" i="49"/>
  <c r="J5" i="49"/>
  <c r="H5" i="49"/>
  <c r="G5" i="49"/>
  <c r="F5" i="49"/>
  <c r="P4" i="49"/>
  <c r="O4" i="49"/>
  <c r="N4" i="49"/>
  <c r="L4" i="49"/>
  <c r="K4" i="49"/>
  <c r="J4" i="49"/>
  <c r="H4" i="49"/>
  <c r="G4" i="49"/>
  <c r="F4" i="49"/>
  <c r="P3" i="49"/>
  <c r="O3" i="49"/>
  <c r="N3" i="49"/>
  <c r="L3" i="49"/>
  <c r="K3" i="49"/>
  <c r="J3" i="49"/>
  <c r="H3" i="49"/>
  <c r="G3" i="49"/>
  <c r="F3" i="49"/>
  <c r="D46" i="34" l="1"/>
  <c r="D45" i="34"/>
  <c r="D44" i="34"/>
  <c r="D43" i="34"/>
  <c r="D42" i="34"/>
  <c r="D41" i="34"/>
  <c r="E45" i="34"/>
  <c r="F45" i="34" s="1"/>
  <c r="E44" i="34"/>
  <c r="F44" i="34" s="1"/>
  <c r="H43" i="34"/>
  <c r="E43" i="34"/>
  <c r="F43" i="34" s="1"/>
  <c r="E42" i="34"/>
  <c r="F42" i="34" s="1"/>
  <c r="D9" i="47" l="1"/>
  <c r="E9" i="47" s="1"/>
  <c r="D14" i="47"/>
  <c r="E14" i="47" s="1"/>
  <c r="D5" i="47"/>
  <c r="E5" i="47" s="1"/>
  <c r="D3" i="47"/>
  <c r="F3" i="47" s="1"/>
  <c r="D6" i="47"/>
  <c r="F14" i="47"/>
  <c r="E3" i="47"/>
  <c r="D13" i="47"/>
  <c r="D4" i="47"/>
  <c r="D7" i="47"/>
  <c r="D10" i="47"/>
  <c r="D12" i="47"/>
  <c r="D8" i="47"/>
  <c r="D11" i="47"/>
  <c r="E46" i="34"/>
  <c r="F46" i="34" s="1"/>
  <c r="H42" i="34"/>
  <c r="H41" i="34"/>
  <c r="H45" i="34"/>
  <c r="H44" i="34"/>
  <c r="F41" i="34"/>
  <c r="F5" i="47" l="1"/>
  <c r="E6" i="47"/>
  <c r="F6" i="47"/>
  <c r="F9" i="47"/>
  <c r="E8" i="47"/>
  <c r="F8" i="47"/>
  <c r="E10" i="47"/>
  <c r="F10" i="47"/>
  <c r="F13" i="47"/>
  <c r="E13" i="47"/>
  <c r="E11" i="47"/>
  <c r="F11" i="47"/>
  <c r="E12" i="47"/>
  <c r="F12" i="47"/>
  <c r="E7" i="47"/>
  <c r="F7" i="47"/>
  <c r="C37" i="34"/>
  <c r="B37" i="34"/>
  <c r="C31" i="34"/>
  <c r="P24" i="34" l="1"/>
  <c r="M24" i="34"/>
  <c r="J24" i="34"/>
  <c r="G24" i="34"/>
  <c r="D24" i="34"/>
  <c r="P23" i="34"/>
  <c r="M23" i="34"/>
  <c r="J23" i="34"/>
  <c r="G23" i="34"/>
  <c r="D23" i="34"/>
  <c r="P22" i="34"/>
  <c r="M22" i="34"/>
  <c r="J22" i="34"/>
  <c r="G22" i="34"/>
  <c r="D22" i="34"/>
  <c r="P21" i="34"/>
  <c r="M21" i="34"/>
  <c r="J21" i="34"/>
  <c r="G21" i="34"/>
  <c r="D21" i="34"/>
  <c r="P20" i="34"/>
  <c r="M20" i="34"/>
  <c r="J20" i="34"/>
  <c r="G20" i="34"/>
  <c r="D20" i="34"/>
  <c r="D4" i="40" l="1"/>
  <c r="E4" i="40"/>
  <c r="F4" i="40"/>
  <c r="D5" i="40"/>
  <c r="E5" i="40"/>
  <c r="F5" i="40"/>
  <c r="D6" i="40"/>
  <c r="E6" i="40"/>
  <c r="F6" i="40"/>
  <c r="D7" i="40"/>
  <c r="E7" i="40"/>
  <c r="F7" i="40"/>
  <c r="F3" i="40"/>
  <c r="E3" i="40"/>
  <c r="D3" i="40"/>
  <c r="F23" i="46"/>
  <c r="D24" i="46"/>
  <c r="E24" i="46"/>
  <c r="F24" i="46"/>
  <c r="D25" i="46"/>
  <c r="E25" i="46"/>
  <c r="F25" i="46"/>
  <c r="D26" i="46"/>
  <c r="E26" i="46"/>
  <c r="F26" i="46"/>
  <c r="D23" i="46"/>
  <c r="D9" i="46"/>
  <c r="E9" i="46"/>
  <c r="F9" i="46"/>
  <c r="D5" i="46"/>
  <c r="E5" i="46"/>
  <c r="F5" i="46"/>
  <c r="D6" i="46"/>
  <c r="E6" i="46"/>
  <c r="F6" i="46"/>
  <c r="D7" i="46"/>
  <c r="E7" i="46"/>
  <c r="F7" i="46"/>
  <c r="D8" i="46"/>
  <c r="E8" i="46"/>
  <c r="F8" i="46"/>
  <c r="D10" i="46"/>
  <c r="E10" i="46"/>
  <c r="F10" i="46"/>
  <c r="D11" i="46"/>
  <c r="E11" i="46"/>
  <c r="F11" i="46"/>
  <c r="D12" i="46"/>
  <c r="E12" i="46"/>
  <c r="F12" i="46"/>
  <c r="D13" i="46"/>
  <c r="E13" i="46"/>
  <c r="F13" i="46"/>
  <c r="D14" i="46"/>
  <c r="E14" i="46"/>
  <c r="F14" i="46"/>
  <c r="D20" i="46"/>
  <c r="E20" i="46"/>
  <c r="F20" i="46"/>
  <c r="F4" i="46"/>
  <c r="E4" i="46"/>
  <c r="D4" i="46"/>
  <c r="B21" i="46"/>
  <c r="F21" i="46" s="1"/>
  <c r="B20" i="46"/>
  <c r="B19" i="46"/>
  <c r="D19" i="46" s="1"/>
  <c r="B18" i="46"/>
  <c r="D18" i="46" s="1"/>
  <c r="B17" i="46"/>
  <c r="D17" i="46" s="1"/>
  <c r="B16" i="46"/>
  <c r="D16" i="46" s="1"/>
  <c r="B15" i="46"/>
  <c r="D15" i="46" s="1"/>
  <c r="E23" i="46" l="1"/>
  <c r="D21" i="46"/>
  <c r="E21" i="46"/>
  <c r="F18" i="46"/>
  <c r="F17" i="46"/>
  <c r="E17" i="46"/>
  <c r="F16" i="46"/>
  <c r="E16" i="46"/>
  <c r="F19" i="46"/>
  <c r="F15" i="46"/>
  <c r="E19" i="46"/>
  <c r="E15" i="46"/>
  <c r="E18" i="46"/>
  <c r="D4" i="39" l="1"/>
  <c r="E4" i="39"/>
  <c r="F4" i="39"/>
  <c r="D5" i="39"/>
  <c r="E5" i="39"/>
  <c r="F5" i="39"/>
  <c r="F3" i="39"/>
  <c r="E3" i="39"/>
  <c r="D3" i="39"/>
  <c r="I6" i="43" l="1"/>
  <c r="J6" i="43"/>
  <c r="K6" i="43"/>
  <c r="I9" i="43"/>
  <c r="J9" i="43"/>
  <c r="K9" i="43"/>
  <c r="I10" i="43"/>
  <c r="J10" i="43"/>
  <c r="K10" i="43"/>
  <c r="I4" i="43"/>
  <c r="J4" i="43"/>
  <c r="K4" i="43"/>
  <c r="I5" i="43"/>
  <c r="J5" i="43"/>
  <c r="K5" i="43"/>
  <c r="K3" i="43"/>
  <c r="J3" i="43"/>
  <c r="I3" i="43"/>
  <c r="D4" i="43"/>
  <c r="E4" i="43"/>
  <c r="F4" i="43"/>
  <c r="D5" i="43"/>
  <c r="E5" i="43"/>
  <c r="F5" i="43"/>
  <c r="D6" i="43"/>
  <c r="E6" i="43"/>
  <c r="F6" i="43"/>
  <c r="D7" i="43"/>
  <c r="E7" i="43"/>
  <c r="F7" i="43"/>
  <c r="D8" i="43"/>
  <c r="E8" i="43"/>
  <c r="F8" i="43"/>
  <c r="D9" i="43"/>
  <c r="E9" i="43"/>
  <c r="F9" i="43"/>
  <c r="D10" i="43"/>
  <c r="E10" i="43"/>
  <c r="F10" i="43"/>
  <c r="F3" i="43"/>
  <c r="E3" i="43"/>
  <c r="D3" i="43"/>
  <c r="D5" i="44" l="1"/>
  <c r="D4" i="44"/>
  <c r="F3" i="44"/>
  <c r="E3" i="44"/>
  <c r="D3" i="44"/>
  <c r="F3" i="26" l="1"/>
  <c r="E3" i="26"/>
  <c r="D4" i="26"/>
  <c r="D5" i="26"/>
  <c r="D6" i="26"/>
  <c r="D7" i="26"/>
  <c r="D8" i="26"/>
  <c r="D3" i="26"/>
  <c r="L4" i="25" l="1"/>
  <c r="M4" i="25"/>
  <c r="N4" i="25"/>
  <c r="L5" i="25"/>
  <c r="M5" i="25"/>
  <c r="N5" i="25"/>
  <c r="L6" i="25"/>
  <c r="M6" i="25"/>
  <c r="N6" i="25"/>
  <c r="L7" i="25"/>
  <c r="M7" i="25"/>
  <c r="N7" i="25"/>
  <c r="N3" i="25"/>
  <c r="M3" i="25"/>
  <c r="L3" i="25"/>
  <c r="H4" i="25"/>
  <c r="I4" i="25"/>
  <c r="J4" i="25"/>
  <c r="H5" i="25"/>
  <c r="I5" i="25"/>
  <c r="J5" i="25"/>
  <c r="H6" i="25"/>
  <c r="I6" i="25"/>
  <c r="J6" i="25"/>
  <c r="H7" i="25"/>
  <c r="I7" i="25"/>
  <c r="J7" i="25"/>
  <c r="J3" i="25"/>
  <c r="I3" i="25"/>
  <c r="H3" i="25"/>
  <c r="D4" i="25"/>
  <c r="E4" i="25"/>
  <c r="F4" i="25"/>
  <c r="D5" i="25"/>
  <c r="E5" i="25"/>
  <c r="F5" i="25"/>
  <c r="D6" i="25"/>
  <c r="E6" i="25"/>
  <c r="F6" i="25"/>
  <c r="D7" i="25"/>
  <c r="E7" i="25"/>
  <c r="F7" i="25"/>
  <c r="F3" i="25"/>
  <c r="E3" i="25"/>
  <c r="D3" i="25"/>
  <c r="D4" i="22" l="1"/>
  <c r="E10" i="22"/>
  <c r="F10" i="22"/>
  <c r="D11" i="22"/>
  <c r="E11" i="22"/>
  <c r="F11" i="22"/>
  <c r="D12" i="22"/>
  <c r="F12" i="22"/>
  <c r="E7" i="22"/>
  <c r="E3" i="22" l="1"/>
  <c r="E4" i="22"/>
  <c r="D5" i="22"/>
  <c r="E6" i="22"/>
  <c r="D9" i="22"/>
  <c r="E8" i="22"/>
  <c r="D10" i="22"/>
  <c r="D8" i="22"/>
  <c r="D13" i="22"/>
  <c r="F7" i="22"/>
  <c r="E12" i="22"/>
  <c r="D14" i="22"/>
  <c r="D7" i="22"/>
  <c r="F3" i="22"/>
  <c r="F6" i="22"/>
  <c r="E14" i="22"/>
  <c r="D6" i="22"/>
  <c r="F13" i="22"/>
  <c r="F5" i="22"/>
  <c r="E13" i="22"/>
  <c r="E9" i="22"/>
  <c r="E5" i="22"/>
  <c r="D3" i="22"/>
  <c r="F14" i="22"/>
  <c r="F9" i="22"/>
  <c r="F8" i="22"/>
  <c r="F4" i="22"/>
  <c r="D5" i="21"/>
  <c r="E5" i="21"/>
  <c r="F5" i="21"/>
  <c r="F8" i="21"/>
  <c r="E8" i="21"/>
  <c r="D8" i="21"/>
  <c r="F3" i="21"/>
  <c r="E3" i="21"/>
  <c r="D3" i="21"/>
  <c r="F4" i="21"/>
  <c r="E4" i="21"/>
  <c r="D4" i="21"/>
  <c r="F6" i="21"/>
  <c r="E6" i="21"/>
  <c r="D6" i="21"/>
  <c r="F7" i="21"/>
  <c r="E7" i="21"/>
  <c r="D7" i="21"/>
</calcChain>
</file>

<file path=xl/sharedStrings.xml><?xml version="1.0" encoding="utf-8"?>
<sst xmlns="http://schemas.openxmlformats.org/spreadsheetml/2006/main" count="351" uniqueCount="205">
  <si>
    <t>Registre</t>
  </si>
  <si>
    <t>Paris</t>
  </si>
  <si>
    <t>Auvergne</t>
  </si>
  <si>
    <t>La Réunion</t>
  </si>
  <si>
    <t>Antilles</t>
  </si>
  <si>
    <t>Bretagne</t>
  </si>
  <si>
    <t>Tous les registres</t>
  </si>
  <si>
    <t>Dénominateur</t>
  </si>
  <si>
    <t>Fente oro-faciale (N=379)</t>
  </si>
  <si>
    <t>30-34</t>
  </si>
  <si>
    <t>35-39</t>
  </si>
  <si>
    <t xml:space="preserve">Fente oro-faciale </t>
  </si>
  <si>
    <t>&lt;25</t>
  </si>
  <si>
    <t>25-29</t>
  </si>
  <si>
    <t>Postnatal</t>
  </si>
  <si>
    <t>Manquant</t>
  </si>
  <si>
    <t>Prénatal</t>
  </si>
  <si>
    <t>Membres (N=1881)</t>
  </si>
  <si>
    <t>Données Figure 2.</t>
  </si>
  <si>
    <t>Numérateur</t>
  </si>
  <si>
    <t>Données Figure 3.</t>
  </si>
  <si>
    <t>Données Figure 4.</t>
  </si>
  <si>
    <t>Données Figure 5.</t>
  </si>
  <si>
    <t>Groupes d'anomalies</t>
  </si>
  <si>
    <t>Données Figure 6.</t>
  </si>
  <si>
    <t xml:space="preserve">Prévalence des cas atteints d’anomalies congénitales parmi les naissances totales, globalement et par registre, 2019-2021 </t>
  </si>
  <si>
    <t>Données Tableau 2.</t>
  </si>
  <si>
    <t>Données Tableau 3.</t>
  </si>
  <si>
    <t>Données Tableau 4.</t>
  </si>
  <si>
    <t>Données Tableau 5.</t>
  </si>
  <si>
    <t>Données Tableau 6.</t>
  </si>
  <si>
    <t>Groupe d'anomalie</t>
  </si>
  <si>
    <t>Nombre total de cas</t>
  </si>
  <si>
    <t>Nombre de cas non genetique</t>
  </si>
  <si>
    <t>Nombre de cas genetique</t>
  </si>
  <si>
    <t>% de cas génétique</t>
  </si>
  <si>
    <t xml:space="preserve">Prévalence de cas </t>
  </si>
  <si>
    <t>Borne inférieure 95% IC</t>
  </si>
  <si>
    <t>Bone supérieure 95% IC</t>
  </si>
  <si>
    <t>Prévalence de cas génétique</t>
  </si>
  <si>
    <t>Prévalence de cas non génétique</t>
  </si>
  <si>
    <t>Mort-nés</t>
  </si>
  <si>
    <t>IMG</t>
  </si>
  <si>
    <t xml:space="preserve">Naissances vivantes </t>
  </si>
  <si>
    <t xml:space="preserve">Cardiaques </t>
  </si>
  <si>
    <t xml:space="preserve">Génétiques </t>
  </si>
  <si>
    <t xml:space="preserve">Membres </t>
  </si>
  <si>
    <t xml:space="preserve">Rein et tractus urinaire </t>
  </si>
  <si>
    <t xml:space="preserve">Système nerveux central </t>
  </si>
  <si>
    <t xml:space="preserve">Génitales </t>
  </si>
  <si>
    <t xml:space="preserve">Gastro-intestinales </t>
  </si>
  <si>
    <t xml:space="preserve">Respiratoires </t>
  </si>
  <si>
    <t>Dénominateur naissances vivantes</t>
  </si>
  <si>
    <t>Dénominateur naissances totales</t>
  </si>
  <si>
    <t>Prévalence de naissances vivantes</t>
  </si>
  <si>
    <t>Prévalence de IMG</t>
  </si>
  <si>
    <t xml:space="preserve">Génétiques  </t>
  </si>
  <si>
    <t>Prévalence de Mort-nés</t>
  </si>
  <si>
    <t>Données de 5 registres Français (Antilles, Auvergne, Bretagne, La Réunion et Paris)</t>
  </si>
  <si>
    <t>Génitales  (N=725)</t>
  </si>
  <si>
    <t>Gastro-intestinales (N=557)</t>
  </si>
  <si>
    <t>Cardiaques (N=2546)</t>
  </si>
  <si>
    <t>Respiratoires (N=162)</t>
  </si>
  <si>
    <t>Système nerveux central (N=1113)</t>
  </si>
  <si>
    <t>Génétiques (N=2108)</t>
  </si>
  <si>
    <t>Rein et du tractus urinaire (N=1633)</t>
  </si>
  <si>
    <t>≥ 40</t>
  </si>
  <si>
    <t>Age maternel</t>
  </si>
  <si>
    <t>Toutes MCC</t>
  </si>
  <si>
    <t>MCC associées à une anomalie génétique</t>
  </si>
  <si>
    <t>Groupe de cardiopathies</t>
  </si>
  <si>
    <t>MCC : Malformation cardiaque congénitale</t>
  </si>
  <si>
    <t>% Diagnostic prénatal</t>
  </si>
  <si>
    <t>n IMG</t>
  </si>
  <si>
    <t>% IMG</t>
  </si>
  <si>
    <t>% Naissances vivantes</t>
  </si>
  <si>
    <t xml:space="preserve">     MCC severes isolées</t>
  </si>
  <si>
    <t>Hypospadias</t>
  </si>
  <si>
    <t>Total</t>
  </si>
  <si>
    <t>Isolé</t>
  </si>
  <si>
    <t>Non-isolé</t>
  </si>
  <si>
    <t xml:space="preserve">Nombres de cas diagnostique en prenatal           </t>
  </si>
  <si>
    <t xml:space="preserve">Nombres de cas diagnostique  postnatal         </t>
  </si>
  <si>
    <t>Prévalence totale</t>
  </si>
  <si>
    <t>Naissances vivantes</t>
  </si>
  <si>
    <t>Prévalence naissances vivantes</t>
  </si>
  <si>
    <t>IMG parmi les diagnostiqués en prénatal</t>
  </si>
  <si>
    <t>&lt;5</t>
  </si>
  <si>
    <t>Nombre de cas total</t>
  </si>
  <si>
    <t>Anomalies de fermeture de tube neural (AFTN)</t>
  </si>
  <si>
    <t xml:space="preserve">AFTN Total </t>
  </si>
  <si>
    <t>Anencéphalies non associée à une anomalie génétique</t>
  </si>
  <si>
    <t>Encéphalocèle et méningocèle non associée à une anomalie génétique</t>
  </si>
  <si>
    <t>AFTN non associée à une anomalie génétique</t>
  </si>
  <si>
    <t>Spina bifida non associée à une anomalie génétique</t>
  </si>
  <si>
    <t>Spina bifida total</t>
  </si>
  <si>
    <t>Anencéphalies total</t>
  </si>
  <si>
    <t>Encéphalocèle et méningocèle total</t>
  </si>
  <si>
    <t xml:space="preserve"> 36 </t>
  </si>
  <si>
    <t xml:space="preserve">Nb diagnostic prénatal </t>
  </si>
  <si>
    <t> Anomalies génétiques</t>
  </si>
  <si>
    <t>n</t>
  </si>
  <si>
    <t>% DPN</t>
  </si>
  <si>
    <t>Toutes anomalies génétiques</t>
  </si>
  <si>
    <t>Autres (microremaniements chromosomiques et syndromes monogéniques)</t>
  </si>
  <si>
    <t xml:space="preserve">     Tronc artériel commun</t>
  </si>
  <si>
    <t xml:space="preserve">     Ventricule droit à double issue</t>
  </si>
  <si>
    <t xml:space="preserve">     Ventricule gauche à double issue</t>
  </si>
  <si>
    <t xml:space="preserve">     Transposition complète des grandes artères (D-TGA)</t>
  </si>
  <si>
    <t xml:space="preserve">     Ventricule unique</t>
  </si>
  <si>
    <t xml:space="preserve">     Transposition corrigée des grandes artères </t>
  </si>
  <si>
    <t>NA</t>
  </si>
  <si>
    <t xml:space="preserve">     Défaut septal atrioventriculaire</t>
  </si>
  <si>
    <t xml:space="preserve">     Tétralogie et pentalogie de Fallot</t>
  </si>
  <si>
    <t xml:space="preserve">     Atrésie et sténose tricuspide</t>
  </si>
  <si>
    <t xml:space="preserve">     Anomalie d'Ebstein</t>
  </si>
  <si>
    <t xml:space="preserve">     Atrésie valvulaire pulmonaire</t>
  </si>
  <si>
    <t xml:space="preserve">     Atrésie/sténose valvulaire aortique</t>
  </si>
  <si>
    <t xml:space="preserve">     Atrésie/sténose valvulaire mitrale</t>
  </si>
  <si>
    <t xml:space="preserve">     Syndrome du cœur gauche hypoplasique</t>
  </si>
  <si>
    <t xml:space="preserve">     Syndrome du cœur droit hypoplasique</t>
  </si>
  <si>
    <t xml:space="preserve">     Coarctation de l'aorte</t>
  </si>
  <si>
    <t xml:space="preserve">     Atrésie aortique / interruption de l'arc aortique</t>
  </si>
  <si>
    <t xml:space="preserve">     Retour veineux pulmonaire anormal total</t>
  </si>
  <si>
    <t xml:space="preserve">     Communication inter-ventriculaire (VSD)</t>
  </si>
  <si>
    <t xml:space="preserve">     Communication inter-auriculaire (ASD)</t>
  </si>
  <si>
    <t xml:space="preserve">     Sténose valvulaire pulmonaire</t>
  </si>
  <si>
    <t xml:space="preserve">     Persistance du canal artériel chez les enfants à terme</t>
  </si>
  <si>
    <t xml:space="preserve"> Aneuploidies </t>
  </si>
  <si>
    <t>Trisomie 13</t>
  </si>
  <si>
    <t>Trisomie 18</t>
  </si>
  <si>
    <t>Trisomie 21</t>
  </si>
  <si>
    <t>Polyploïdies</t>
  </si>
  <si>
    <t>% MFIU</t>
  </si>
  <si>
    <t xml:space="preserve">% Naissance vivantes </t>
  </si>
  <si>
    <t>Prévalence des cas atteints d’anomalies congénitales parmi les naissances totales, selon le groupe d’anomalie. Sources : registres des Antilles, Auvergne, Bretagne, Paris et La Réunion, 2019–2021</t>
  </si>
  <si>
    <t>Répartition des cas atteints d’anomalies congénitales parmi les naissances totales selon le groupe d’anomalie et la présence ou l’absence d’au moins une anomalie génétique dans chaque groupe. Sources : registres des Antilles, Auvergne, Bretagne, Paris et La Réunion, 2019–2021</t>
  </si>
  <si>
    <t>Données Figure 7.</t>
  </si>
  <si>
    <t>Répartition des cas atteints d’anomalies congénitales parmi les naissances totales selon le groupe d’anomalie et le moment du diagnostic (prénatal ou postnatal). Sources : registres des Antilles, Auvergne, Bretagne, Paris et La Réunion, 2019–2021</t>
  </si>
  <si>
    <t>Prévalence des cas atteints d’anomalies congénitales selon l’issue de grossesse (naissances vivantes et IMG), par groupe d’anomalie congénitale. Sources : registres des Antilles, Auvergne, Bretagne, Paris et La Réunion, 2019–2021</t>
  </si>
  <si>
    <t>Fréquences, prévalences et taux de diagnostic prénatal des cas atteints d’anomalies génétiques parmi les naissances totales. Sources : registres des Antilles, Auvergne, Bretagne, Paris et La Réunion, 2019–2021</t>
  </si>
  <si>
    <t>Fréquences, prévalences et taux de diagnostic prénatal des cas atteints d’anomalies de nombre des chromosomes (aneuploïdies) parmi les naissances totales et issues de grossesse parmi les cas d’anomalies génétiques diagnostiqués en prénatal. Sources : registres des Antilles, Auvergne, Bretagne, Paris et La Réunion, 2019–2021</t>
  </si>
  <si>
    <t>Fréquences, prévalences et taux de diagnostic prénatal des cas atteints d’AFTN et en l’absence d’anomalies génétiques, parmi les naissances totales et vivantes et fréquences et répartition des IMG  parmi les AFTN diagnostiqués en prénatal en l’absence d’anomalies génétiques. Sources : registres des Antilles, Auvergne, Bretagne, Paris et La Réunion, 2019–2021</t>
  </si>
  <si>
    <t>Fréquences, prévalences et taux de diagnostic prénatal des cas atteints d’hypospadias (total, isolé ou en présence d’autres anomalies) parmi les naissances totales. Sources: registres des Antilles, Auvergne, Bretagne, Paris et La Réunion, 2019–2021</t>
  </si>
  <si>
    <t>Table 1. Cas postnataux (1-12 mois) par registre et par tranche d'âge maternel</t>
  </si>
  <si>
    <t>Réunion</t>
  </si>
  <si>
    <t>Table 2. Cas observés par registre et par tranche d'âge maternel</t>
  </si>
  <si>
    <t xml:space="preserve">Taux </t>
  </si>
  <si>
    <t xml:space="preserve">Structure de l'age maternel </t>
  </si>
  <si>
    <t xml:space="preserve">Naissances </t>
  </si>
  <si>
    <t>Table 3.  Distribution de l'âge maternel de la population française entre 2019-2021</t>
  </si>
  <si>
    <t xml:space="preserve">Total </t>
  </si>
  <si>
    <t>Prévalence brute</t>
  </si>
  <si>
    <t>Prévalence corrigé</t>
  </si>
  <si>
    <t>Difference</t>
  </si>
  <si>
    <t>Note méthodologique</t>
  </si>
  <si>
    <t>Antilles 
(n)</t>
  </si>
  <si>
    <t>Auvergne 
(n)</t>
  </si>
  <si>
    <t>La Réunion 
(n)</t>
  </si>
  <si>
    <t>Bretagne 
(n)*</t>
  </si>
  <si>
    <t xml:space="preserve">* 128 données manquantes pour l'age maternel </t>
  </si>
  <si>
    <t>Total 
(n)</t>
  </si>
  <si>
    <t>Taux des cas diagnostiqués entre 1-12 mois
(%)</t>
  </si>
  <si>
    <t>Nombre de cas observé Paris</t>
  </si>
  <si>
    <t>Nombre de cas à ajouter</t>
  </si>
  <si>
    <t>Nombre de cas à Paris avec les cas supplémentaire à ajouter</t>
  </si>
  <si>
    <t xml:space="preserve">n </t>
  </si>
  <si>
    <t>Âge maternel
(ans)</t>
  </si>
  <si>
    <t>≥40</t>
  </si>
  <si>
    <t>Ensuite, ces taux spécifiques par tranche d’âge ont été appliqués à la population de référence afin d’estimer le nombre attendu de cas pour chaque catégorie d’âge.</t>
  </si>
  <si>
    <t>Tableau 4. Prévalences standardisées selon l’âge maternel des cas d’anomalies congénitales, par registre</t>
  </si>
  <si>
    <t>n 
(avec les cas 1-12 mois pour Paris)</t>
  </si>
  <si>
    <t>Prévalence  standardisée</t>
  </si>
  <si>
    <t>Bretagne *</t>
  </si>
  <si>
    <t>-</t>
  </si>
  <si>
    <t>Nb cas génétiques</t>
  </si>
  <si>
    <t>Oreille, visage et cou</t>
  </si>
  <si>
    <t>Oculaires</t>
  </si>
  <si>
    <t>Fermeture de la paroi abdominale</t>
  </si>
  <si>
    <t xml:space="preserve">Fentes oro-faciale </t>
  </si>
  <si>
    <t>Oculaires (N=189)</t>
  </si>
  <si>
    <t>Oreille, visage et cou (N=92)</t>
  </si>
  <si>
    <t>Fermeture de la paroi abdominale (N=221)</t>
  </si>
  <si>
    <t>Prévalence des cas atteints d’anomalies congénitales parmi les naissances totales, selon l’age maternel et la présence ou l’absence d’au moins une anomalie génétique</t>
  </si>
  <si>
    <t>Fréquences, prévalences et taux de diagnostic prénatal et d'IMG des malformations cardiaques congénitales, selon le type de cardiopathie (sévères, simples ou associés à une anomalie génétique). Sources : registres des Antilles, Auvergne, Bretagne, Paris et La Réunion, 2019–2021</t>
  </si>
  <si>
    <t>Fréquences, prévalences et taux de diagnostic prénatal des cas atteints d’hypospadias (total, isolé ou en présence d’autres anomalies) parmi les naissances totales. Sources : registres des Antilles, Auvergne, Bretagne, Paris et La Réunion, 2019–2021</t>
  </si>
  <si>
    <t>Prévalence p. 10 000 naissances</t>
  </si>
  <si>
    <t>Répartition des cas atteints d'anomalies congénitales parmi les naissances totales selon le groupe d’anomalie et le moment du diagnostic (prénatal ou postnatal). Sources : registres des Antilles, Auvergne, Bretagne, Paris et La Réunion, 2019–2021</t>
  </si>
  <si>
    <t>Données manquantes</t>
  </si>
  <si>
    <t>Rapport sur la surveillance des anomalies congénitales: Données des figures et tableaux présentées</t>
  </si>
  <si>
    <t>Fréquences, prévalences et taux de diagnostic prénatal et des issues de grossesse (naissances vivantes et IMG) des cas atteints de malformations cardiaques congénitales. Sources : registres des Antilles, Auvergne, Bretagne, Paris et La Réunion, 2019–2021</t>
  </si>
  <si>
    <t xml:space="preserve">Malformations cardiaques congénitales sévères </t>
  </si>
  <si>
    <t>Malformations cardiaques congénitales non-sévères</t>
  </si>
  <si>
    <t>Anomalies des gonosomes </t>
  </si>
  <si>
    <t>d</t>
  </si>
  <si>
    <t xml:space="preserve">     MCC non sévères isolées</t>
  </si>
  <si>
    <t>MCC severes total</t>
  </si>
  <si>
    <t>MCC non sévères total</t>
  </si>
  <si>
    <t>Prévalence des cas d’anomalies congénitales, associées ou non à une anomalie génétique, parmi les naissances totales, selon l’âge maternel. Sources : registres des Antilles, Auvergne, Bretagne, Paris et La Réunion, 2019–2021</t>
  </si>
  <si>
    <t>Fréquences, prévalences et taux de diagnostic prénatal et d'IMG des cas atteints de MCC, selon le type de cardiopathie (sévère, non-sévère, isolé ou en présence d’au moins une anomalie génétique). Sources : registres des Antilles, Auvergne, Bretagne, Paris et La Réunion, 2019–2021</t>
  </si>
  <si>
    <t>Données MCC supplémentaire (non présentées dans le rapport).</t>
  </si>
  <si>
    <t>Données MCC supplémentaire.</t>
  </si>
  <si>
    <r>
      <rPr>
        <b/>
        <sz val="10"/>
        <color theme="4" tint="-0.499984740745262"/>
        <rFont val="Arial"/>
        <family val="2"/>
      </rPr>
      <t>1. Estimation des cas manquants</t>
    </r>
    <r>
      <rPr>
        <sz val="10"/>
        <color theme="1"/>
        <rFont val="Arial"/>
        <family val="2"/>
      </rPr>
      <t xml:space="preserve">
Pour chaque registre (à l’exception de Paris), les cas diagnostiqués entre 1 et 12 mois ont été extraits par tranche d’âge maternel. 
Le taux moyen de ces diagnostics postnataux a ensuite été calculé pour chaque tranche d’âge, puis appliqué aux données du registre de Paris.</t>
    </r>
  </si>
  <si>
    <r>
      <rPr>
        <b/>
        <sz val="10"/>
        <color theme="4" tint="-0.499984740745262"/>
        <rFont val="Arial"/>
        <family val="2"/>
      </rPr>
      <t>2. Standardisation par âge maternel</t>
    </r>
    <r>
      <rPr>
        <sz val="10"/>
        <color theme="1"/>
        <rFont val="Arial"/>
        <family val="2"/>
      </rPr>
      <t xml:space="preserve">
Pour comparer les prévalences entre les registres en neutralisant l’impact des différences de structure d’âge, une standardisation directe a été appliquée. La distribution par âge maternel de la population française (2019-2021, source INSEE) a été utilisée comme référence. 
Le taux de prévalence des anomalies congénitales a été calculé pour chaque registre, par tranche d’âge, en intégrant les données corrigées pour Paris.</t>
    </r>
  </si>
  <si>
    <r>
      <t>Trisomies (13,18, 21)</t>
    </r>
    <r>
      <rPr>
        <sz val="10"/>
        <color theme="1"/>
        <rFont val="Calibri"/>
        <family val="2"/>
        <scheme val="minor"/>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</si>
</sst>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12"/>
      <color theme="1"/>
      <name val="Arial"/>
      <family val="2"/>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b/>
      <sz val="10"/>
      <color rgb="FF000000"/>
      <name val="Arial"/>
      <family val="2"/>
    </font>
    <font>
      <b/>
      <u/>
      <sz val="10"/>
      <color theme="10"/>
      <name val="Arial"/>
      <family val="2"/>
    </font>
    <font>
      <b/>
      <sz val="10"/>
      <color rgb="FF3E3E3E"/>
      <name val="Arial"/>
      <family val="2"/>
    </font>
    <font>
      <b/>
      <sz val="10"/>
      <color theme="4" tint="-0.499984740745262"/>
      <name val="Arial"/>
      <family val="2"/>
    </font>
    <font>
      <sz val="8"/>
      <color theme="1"/>
      <name val="Arial"/>
      <family val="2"/>
    </font>
    <font>
      <b/>
      <sz val="10"/>
      <color rgb="FFFF0000"/>
      <name val="Arial"/>
      <family val="2"/>
    </font>
    <font>
      <sz val="10"/>
      <color theme="1"/>
      <name val="Calibri"/>
      <family val="2"/>
      <scheme val="minor"/>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E9EDF7"/>
        <bgColor indexed="64"/>
      </patternFill>
    </fill>
    <fill>
      <patternFill patternType="solid">
        <fgColor theme="9"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189">
    <xf numFmtId="0" fontId="0" fillId="0" borderId="0" xfId="0"/>
    <xf numFmtId="0" fontId="1" fillId="2" borderId="0" xfId="0" applyFont="1" applyFill="1" applyBorder="1" applyAlignment="1">
      <alignment horizontal="center"/>
    </xf>
    <xf numFmtId="0" fontId="1" fillId="2" borderId="0" xfId="0" applyFont="1" applyFill="1" applyAlignment="1">
      <alignment horizontal="center"/>
    </xf>
    <xf numFmtId="0" fontId="1" fillId="2" borderId="0" xfId="0" applyFont="1" applyFill="1"/>
    <xf numFmtId="0" fontId="1" fillId="2" borderId="0" xfId="0" applyFont="1" applyFill="1" applyBorder="1"/>
    <xf numFmtId="0" fontId="5" fillId="2" borderId="0" xfId="0" applyFont="1" applyFill="1"/>
    <xf numFmtId="0" fontId="6" fillId="2" borderId="0" xfId="0" applyFont="1" applyFill="1"/>
    <xf numFmtId="0" fontId="5" fillId="2" borderId="0" xfId="0" applyFont="1" applyFill="1" applyAlignment="1">
      <alignment vertical="center"/>
    </xf>
    <xf numFmtId="0" fontId="4" fillId="2" borderId="0" xfId="0" applyFont="1" applyFill="1"/>
    <xf numFmtId="0" fontId="4" fillId="2" borderId="0" xfId="0" applyFont="1" applyFill="1" applyAlignment="1">
      <alignment vertical="center"/>
    </xf>
    <xf numFmtId="0" fontId="7" fillId="2" borderId="0" xfId="2" applyFont="1" applyFill="1" applyAlignment="1">
      <alignment vertical="center"/>
    </xf>
    <xf numFmtId="0" fontId="7" fillId="0" borderId="0" xfId="2" applyFont="1" applyFill="1"/>
    <xf numFmtId="0" fontId="7" fillId="2" borderId="0" xfId="2" applyFont="1" applyFill="1" applyAlignment="1">
      <alignment vertical="center" wrapText="1"/>
    </xf>
    <xf numFmtId="0" fontId="8"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Border="1"/>
    <xf numFmtId="0" fontId="5" fillId="2" borderId="6" xfId="0" applyFont="1" applyFill="1" applyBorder="1" applyAlignment="1">
      <alignment vertical="center"/>
    </xf>
    <xf numFmtId="0" fontId="5" fillId="2" borderId="0" xfId="0" applyFont="1" applyFill="1" applyBorder="1" applyAlignment="1">
      <alignment horizontal="center" vertical="center"/>
    </xf>
    <xf numFmtId="164" fontId="5" fillId="2" borderId="0" xfId="0" applyNumberFormat="1" applyFont="1" applyFill="1" applyBorder="1" applyAlignment="1">
      <alignment horizontal="center" vertical="center"/>
    </xf>
    <xf numFmtId="164" fontId="5" fillId="2" borderId="5" xfId="0" applyNumberFormat="1" applyFont="1" applyFill="1" applyBorder="1" applyAlignment="1">
      <alignment horizontal="center" vertical="center"/>
    </xf>
    <xf numFmtId="164" fontId="5" fillId="2" borderId="9"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0" fontId="5" fillId="2" borderId="0" xfId="0" applyFont="1" applyFill="1" applyAlignment="1">
      <alignment horizontal="center"/>
    </xf>
    <xf numFmtId="0" fontId="5" fillId="2" borderId="0" xfId="0" applyFont="1" applyFill="1" applyBorder="1" applyAlignment="1">
      <alignment horizontal="center"/>
    </xf>
    <xf numFmtId="164" fontId="5" fillId="2" borderId="0" xfId="0" applyNumberFormat="1" applyFont="1" applyFill="1" applyBorder="1" applyAlignment="1">
      <alignment horizontal="center"/>
    </xf>
    <xf numFmtId="0" fontId="5" fillId="2" borderId="0" xfId="0" applyFont="1" applyFill="1" applyAlignment="1">
      <alignment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165" fontId="5" fillId="2" borderId="11" xfId="1" applyNumberFormat="1" applyFont="1" applyFill="1" applyBorder="1" applyAlignment="1">
      <alignment horizontal="center" vertical="center" wrapText="1"/>
    </xf>
    <xf numFmtId="0" fontId="5" fillId="2" borderId="1" xfId="0" applyFont="1" applyFill="1" applyBorder="1" applyAlignment="1">
      <alignment horizontal="center"/>
    </xf>
    <xf numFmtId="1" fontId="5" fillId="2" borderId="10" xfId="0" applyNumberFormat="1" applyFont="1" applyFill="1" applyBorder="1" applyAlignment="1">
      <alignment horizontal="center"/>
    </xf>
    <xf numFmtId="1" fontId="5" fillId="2" borderId="14" xfId="0" applyNumberFormat="1" applyFont="1" applyFill="1" applyBorder="1" applyAlignment="1">
      <alignment horizontal="center"/>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165" fontId="5" fillId="2" borderId="0" xfId="1" applyNumberFormat="1" applyFont="1" applyFill="1" applyBorder="1" applyAlignment="1">
      <alignment horizontal="center" vertical="center" wrapText="1"/>
    </xf>
    <xf numFmtId="0" fontId="5" fillId="2" borderId="6" xfId="0" applyFont="1" applyFill="1" applyBorder="1" applyAlignment="1">
      <alignment horizontal="center"/>
    </xf>
    <xf numFmtId="1" fontId="5" fillId="2" borderId="5" xfId="0" applyNumberFormat="1" applyFont="1" applyFill="1" applyBorder="1" applyAlignment="1">
      <alignment horizontal="center"/>
    </xf>
    <xf numFmtId="1" fontId="5" fillId="2" borderId="15" xfId="0" applyNumberFormat="1" applyFont="1" applyFill="1" applyBorder="1" applyAlignment="1">
      <alignment horizontal="center"/>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165" fontId="5" fillId="2" borderId="8" xfId="1" applyNumberFormat="1" applyFont="1" applyFill="1" applyBorder="1" applyAlignment="1">
      <alignment horizontal="center" vertical="center" wrapText="1"/>
    </xf>
    <xf numFmtId="0" fontId="5" fillId="2" borderId="2" xfId="0" applyFont="1" applyFill="1" applyBorder="1" applyAlignment="1">
      <alignment horizontal="center"/>
    </xf>
    <xf numFmtId="1" fontId="5" fillId="2" borderId="7" xfId="0" applyNumberFormat="1" applyFont="1" applyFill="1" applyBorder="1" applyAlignment="1">
      <alignment horizontal="center"/>
    </xf>
    <xf numFmtId="1" fontId="5" fillId="2" borderId="16" xfId="0" applyNumberFormat="1" applyFont="1" applyFill="1" applyBorder="1" applyAlignment="1">
      <alignment horizontal="center"/>
    </xf>
    <xf numFmtId="0" fontId="4" fillId="2" borderId="0" xfId="0" applyFont="1" applyFill="1" applyBorder="1"/>
    <xf numFmtId="0" fontId="4" fillId="2" borderId="1" xfId="0" applyFont="1" applyFill="1" applyBorder="1" applyAlignment="1">
      <alignment vertical="top"/>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wrapText="1"/>
    </xf>
    <xf numFmtId="1" fontId="5" fillId="2" borderId="0" xfId="0" applyNumberFormat="1" applyFont="1" applyFill="1" applyBorder="1"/>
    <xf numFmtId="0" fontId="4" fillId="2" borderId="0" xfId="0" applyFont="1" applyFill="1" applyBorder="1" applyAlignment="1">
      <alignment horizontal="left" vertical="center" wrapText="1"/>
    </xf>
    <xf numFmtId="0" fontId="4" fillId="2" borderId="2" xfId="0" applyFont="1" applyFill="1" applyBorder="1" applyAlignment="1">
      <alignment horizontal="center" vertical="center" wrapText="1"/>
    </xf>
    <xf numFmtId="165" fontId="5" fillId="2" borderId="10" xfId="1"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5" xfId="1"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wrapText="1"/>
    </xf>
    <xf numFmtId="165" fontId="5" fillId="2" borderId="7" xfId="1"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5" fillId="2" borderId="0" xfId="1" applyNumberFormat="1" applyFont="1" applyFill="1"/>
    <xf numFmtId="0" fontId="5" fillId="2" borderId="9" xfId="0" applyFont="1" applyFill="1" applyBorder="1" applyAlignment="1">
      <alignment horizontal="center"/>
    </xf>
    <xf numFmtId="165" fontId="5" fillId="2" borderId="9" xfId="0" applyNumberFormat="1" applyFont="1" applyFill="1" applyBorder="1" applyAlignment="1">
      <alignment horizontal="center" vertical="center" wrapText="1"/>
    </xf>
    <xf numFmtId="0" fontId="4" fillId="3" borderId="8" xfId="0" applyFont="1" applyFill="1" applyBorder="1" applyAlignment="1">
      <alignment horizontal="left" vertical="center"/>
    </xf>
    <xf numFmtId="0" fontId="4" fillId="2" borderId="4" xfId="0" applyFont="1" applyFill="1" applyBorder="1" applyAlignment="1">
      <alignment vertical="center"/>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6" xfId="0" applyFont="1" applyFill="1" applyBorder="1"/>
    <xf numFmtId="0" fontId="4" fillId="2" borderId="6" xfId="0" applyFont="1" applyFill="1" applyBorder="1" applyAlignment="1">
      <alignment horizontal="center"/>
    </xf>
    <xf numFmtId="164" fontId="4" fillId="2" borderId="5" xfId="0" applyNumberFormat="1" applyFont="1" applyFill="1" applyBorder="1" applyAlignment="1">
      <alignment horizontal="center"/>
    </xf>
    <xf numFmtId="164" fontId="5" fillId="2" borderId="5" xfId="0" applyNumberFormat="1" applyFont="1" applyFill="1" applyBorder="1" applyAlignment="1">
      <alignment horizontal="center"/>
    </xf>
    <xf numFmtId="0" fontId="5" fillId="2" borderId="4" xfId="0" applyFont="1" applyFill="1" applyBorder="1"/>
    <xf numFmtId="164" fontId="5" fillId="2" borderId="9" xfId="0" applyNumberFormat="1" applyFont="1" applyFill="1" applyBorder="1" applyAlignment="1">
      <alignment horizontal="center"/>
    </xf>
    <xf numFmtId="0" fontId="5" fillId="2" borderId="4" xfId="0" applyFont="1" applyFill="1" applyBorder="1" applyAlignment="1">
      <alignment horizontal="center"/>
    </xf>
    <xf numFmtId="164" fontId="5" fillId="2" borderId="3" xfId="0" applyNumberFormat="1" applyFont="1" applyFill="1" applyBorder="1" applyAlignment="1">
      <alignment horizontal="center"/>
    </xf>
    <xf numFmtId="0" fontId="10" fillId="2" borderId="0" xfId="0" applyFont="1" applyFill="1" applyBorder="1"/>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4" fillId="2" borderId="0" xfId="0" applyFont="1" applyFill="1" applyBorder="1" applyAlignment="1">
      <alignment horizontal="left" vertical="center"/>
    </xf>
    <xf numFmtId="0" fontId="5" fillId="2" borderId="1" xfId="0" applyFont="1" applyFill="1" applyBorder="1" applyAlignment="1">
      <alignment vertical="center" wrapText="1"/>
    </xf>
    <xf numFmtId="0" fontId="5" fillId="2" borderId="11" xfId="0" applyFont="1" applyFill="1" applyBorder="1" applyAlignment="1">
      <alignment horizontal="center" vertical="center"/>
    </xf>
    <xf numFmtId="164" fontId="5" fillId="2" borderId="11" xfId="0" applyNumberFormat="1" applyFont="1" applyFill="1" applyBorder="1" applyAlignment="1">
      <alignment horizontal="center" vertical="center"/>
    </xf>
    <xf numFmtId="0" fontId="5" fillId="2" borderId="6" xfId="0" applyFont="1" applyFill="1" applyBorder="1" applyAlignment="1">
      <alignment vertical="center" wrapText="1"/>
    </xf>
    <xf numFmtId="0" fontId="5" fillId="2" borderId="2" xfId="0" applyFont="1" applyFill="1" applyBorder="1" applyAlignment="1">
      <alignment vertical="center" wrapText="1"/>
    </xf>
    <xf numFmtId="164" fontId="5" fillId="2" borderId="8"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164" fontId="5" fillId="2" borderId="10" xfId="0" applyNumberFormat="1" applyFont="1" applyFill="1" applyBorder="1" applyAlignment="1">
      <alignment horizontal="center" vertical="center"/>
    </xf>
    <xf numFmtId="0" fontId="5" fillId="2" borderId="6" xfId="0" applyFont="1" applyFill="1" applyBorder="1" applyAlignment="1">
      <alignment horizontal="center" vertical="center"/>
    </xf>
    <xf numFmtId="164" fontId="5" fillId="2" borderId="7" xfId="0" applyNumberFormat="1" applyFont="1" applyFill="1" applyBorder="1" applyAlignment="1">
      <alignment horizontal="center" vertical="center"/>
    </xf>
    <xf numFmtId="0" fontId="5" fillId="2" borderId="0" xfId="0" applyFont="1" applyFill="1" applyAlignment="1">
      <alignment horizontal="left" vertical="center"/>
    </xf>
    <xf numFmtId="0" fontId="4" fillId="2" borderId="12" xfId="0" applyFont="1" applyFill="1" applyBorder="1" applyAlignment="1">
      <alignment horizontal="left" vertical="center" wrapText="1"/>
    </xf>
    <xf numFmtId="0" fontId="6" fillId="2" borderId="0" xfId="0" applyFont="1" applyFill="1" applyAlignment="1">
      <alignment horizontal="left" vertical="center"/>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1" fillId="2" borderId="0" xfId="0" applyFont="1" applyFill="1" applyAlignment="1">
      <alignment vertical="center"/>
    </xf>
    <xf numFmtId="0" fontId="5" fillId="2" borderId="5" xfId="0" applyFont="1" applyFill="1" applyBorder="1" applyAlignment="1">
      <alignment horizontal="center"/>
    </xf>
    <xf numFmtId="164" fontId="5" fillId="2" borderId="8" xfId="0" applyNumberFormat="1" applyFont="1" applyFill="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2" borderId="3" xfId="0" applyFont="1" applyFill="1" applyBorder="1" applyAlignment="1">
      <alignment horizontal="center" vertical="center"/>
    </xf>
    <xf numFmtId="0" fontId="5" fillId="2" borderId="4" xfId="0" applyFont="1" applyFill="1" applyBorder="1" applyAlignment="1">
      <alignment horizontal="left" vertical="center"/>
    </xf>
    <xf numFmtId="0" fontId="12" fillId="2" borderId="0" xfId="0" applyFont="1" applyFill="1"/>
    <xf numFmtId="0" fontId="12" fillId="2" borderId="6" xfId="0" applyFont="1" applyFill="1" applyBorder="1" applyAlignment="1">
      <alignment vertical="center" wrapText="1"/>
    </xf>
    <xf numFmtId="10" fontId="12" fillId="2" borderId="0" xfId="1" applyNumberFormat="1" applyFont="1" applyFill="1"/>
    <xf numFmtId="0" fontId="12" fillId="2" borderId="0" xfId="0" applyFont="1" applyFill="1" applyBorder="1"/>
    <xf numFmtId="0" fontId="12" fillId="2" borderId="0" xfId="0" applyFont="1" applyFill="1" applyBorder="1" applyAlignment="1">
      <alignment vertical="center" wrapText="1"/>
    </xf>
    <xf numFmtId="0" fontId="5" fillId="2" borderId="11" xfId="0" applyFont="1" applyFill="1" applyBorder="1" applyAlignment="1">
      <alignment horizontal="center"/>
    </xf>
    <xf numFmtId="164" fontId="5" fillId="2" borderId="11" xfId="0" applyNumberFormat="1" applyFont="1" applyFill="1" applyBorder="1" applyAlignment="1">
      <alignment horizontal="center"/>
    </xf>
    <xf numFmtId="164" fontId="5" fillId="2" borderId="10" xfId="0" applyNumberFormat="1" applyFont="1" applyFill="1" applyBorder="1" applyAlignment="1">
      <alignment horizontal="center"/>
    </xf>
    <xf numFmtId="0" fontId="5" fillId="4" borderId="1" xfId="0" applyFont="1" applyFill="1" applyBorder="1" applyAlignment="1">
      <alignment horizontal="center"/>
    </xf>
    <xf numFmtId="164" fontId="5" fillId="4" borderId="11"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164" fontId="5" fillId="5" borderId="11" xfId="0" applyNumberFormat="1" applyFont="1" applyFill="1" applyBorder="1" applyAlignment="1">
      <alignment horizontal="center" vertical="center"/>
    </xf>
    <xf numFmtId="164" fontId="5" fillId="5" borderId="10" xfId="0" applyNumberFormat="1" applyFont="1" applyFill="1" applyBorder="1" applyAlignment="1">
      <alignment horizontal="center" vertical="center"/>
    </xf>
    <xf numFmtId="0" fontId="5" fillId="4" borderId="6" xfId="0" applyFont="1" applyFill="1" applyBorder="1" applyAlignment="1">
      <alignment horizontal="center"/>
    </xf>
    <xf numFmtId="164" fontId="5" fillId="4" borderId="0"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 fontId="5" fillId="5" borderId="0"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5"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 fontId="5" fillId="4" borderId="8" xfId="0" applyNumberFormat="1" applyFont="1" applyFill="1" applyBorder="1" applyAlignment="1">
      <alignment horizontal="center" vertical="center"/>
    </xf>
    <xf numFmtId="164" fontId="5" fillId="4" borderId="7" xfId="0" applyNumberFormat="1" applyFont="1" applyFill="1" applyBorder="1" applyAlignment="1">
      <alignment horizontal="center" vertical="center"/>
    </xf>
    <xf numFmtId="0" fontId="5" fillId="5" borderId="8" xfId="0" applyFont="1" applyFill="1" applyBorder="1" applyAlignment="1">
      <alignment horizontal="center"/>
    </xf>
    <xf numFmtId="0" fontId="5" fillId="5" borderId="8"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 fontId="5" fillId="2" borderId="0" xfId="0" applyNumberFormat="1" applyFont="1" applyFill="1" applyBorder="1" applyAlignment="1">
      <alignment horizontal="center"/>
    </xf>
    <xf numFmtId="0" fontId="4" fillId="2" borderId="0" xfId="0" applyFont="1" applyFill="1" applyAlignment="1">
      <alignment vertical="center" wrapText="1"/>
    </xf>
    <xf numFmtId="1" fontId="5"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 fontId="5" fillId="2" borderId="0" xfId="0" applyNumberFormat="1" applyFont="1" applyFill="1" applyAlignment="1">
      <alignment horizontal="center" vertical="center" wrapText="1"/>
    </xf>
    <xf numFmtId="1" fontId="5" fillId="2" borderId="0" xfId="0" applyNumberFormat="1" applyFont="1" applyFill="1" applyAlignment="1">
      <alignment horizontal="center"/>
    </xf>
    <xf numFmtId="0" fontId="5" fillId="2" borderId="4"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2" borderId="11" xfId="0" applyFont="1" applyFill="1" applyBorder="1" applyAlignment="1">
      <alignment horizontal="left"/>
    </xf>
    <xf numFmtId="164" fontId="5" fillId="5" borderId="0" xfId="0" applyNumberFormat="1" applyFont="1" applyFill="1" applyAlignment="1">
      <alignment horizontal="center"/>
    </xf>
    <xf numFmtId="1" fontId="5" fillId="5" borderId="0" xfId="0" applyNumberFormat="1" applyFont="1" applyFill="1" applyAlignment="1">
      <alignment horizontal="center"/>
    </xf>
    <xf numFmtId="10" fontId="5" fillId="2" borderId="0" xfId="1" applyNumberFormat="1" applyFont="1" applyFill="1"/>
    <xf numFmtId="0" fontId="5" fillId="2" borderId="0" xfId="0" applyFont="1" applyFill="1" applyAlignment="1">
      <alignment horizontal="left"/>
    </xf>
    <xf numFmtId="0" fontId="5" fillId="2" borderId="8" xfId="0" applyFont="1" applyFill="1" applyBorder="1" applyAlignment="1">
      <alignment horizontal="left"/>
    </xf>
    <xf numFmtId="164" fontId="5" fillId="5" borderId="8" xfId="0" applyNumberFormat="1" applyFont="1" applyFill="1" applyBorder="1" applyAlignment="1">
      <alignment horizontal="center"/>
    </xf>
    <xf numFmtId="1" fontId="5" fillId="5" borderId="8" xfId="0" applyNumberFormat="1" applyFont="1" applyFill="1" applyBorder="1" applyAlignment="1">
      <alignment horizontal="center"/>
    </xf>
    <xf numFmtId="0" fontId="5" fillId="2" borderId="0" xfId="0" applyFont="1" applyFill="1" applyAlignment="1">
      <alignment vertical="center" wrapText="1"/>
    </xf>
    <xf numFmtId="0" fontId="5" fillId="2" borderId="9" xfId="0" applyFont="1" applyFill="1" applyBorder="1" applyAlignment="1">
      <alignment horizontal="left" vertical="center" wrapText="1"/>
    </xf>
    <xf numFmtId="0" fontId="10" fillId="2" borderId="0" xfId="0" applyFont="1" applyFill="1" applyAlignment="1">
      <alignment vertical="center" wrapText="1"/>
    </xf>
    <xf numFmtId="0" fontId="13" fillId="2" borderId="0" xfId="0" applyFont="1" applyFill="1" applyAlignment="1">
      <alignment vertical="center"/>
    </xf>
    <xf numFmtId="1" fontId="5" fillId="2" borderId="9" xfId="0" applyNumberFormat="1" applyFont="1" applyFill="1" applyBorder="1" applyAlignment="1">
      <alignment horizontal="center"/>
    </xf>
    <xf numFmtId="0" fontId="5" fillId="2" borderId="0" xfId="0" applyFont="1" applyFill="1" applyBorder="1" applyAlignment="1">
      <alignment horizontal="left"/>
    </xf>
    <xf numFmtId="2" fontId="5" fillId="2" borderId="0" xfId="0" applyNumberFormat="1" applyFont="1" applyFill="1" applyBorder="1" applyAlignment="1">
      <alignment horizontal="center" vertical="center"/>
    </xf>
    <xf numFmtId="164" fontId="5" fillId="2" borderId="0" xfId="0" applyNumberFormat="1" applyFont="1" applyFill="1" applyAlignment="1">
      <alignment horizontal="center"/>
    </xf>
    <xf numFmtId="0" fontId="5" fillId="2" borderId="0" xfId="0" quotePrefix="1" applyFont="1" applyFill="1" applyAlignment="1">
      <alignment horizontal="center"/>
    </xf>
    <xf numFmtId="0" fontId="5" fillId="2" borderId="11" xfId="0" applyFont="1" applyFill="1" applyBorder="1"/>
    <xf numFmtId="2" fontId="5" fillId="2" borderId="11" xfId="0" applyNumberFormat="1" applyFont="1" applyFill="1" applyBorder="1" applyAlignment="1">
      <alignment horizontal="center" vertical="center"/>
    </xf>
    <xf numFmtId="0" fontId="5" fillId="2" borderId="8" xfId="0" applyFont="1" applyFill="1" applyBorder="1"/>
    <xf numFmtId="2" fontId="5" fillId="2" borderId="8" xfId="0" applyNumberFormat="1" applyFont="1" applyFill="1" applyBorder="1" applyAlignment="1">
      <alignment horizontal="center" vertical="center"/>
    </xf>
    <xf numFmtId="0" fontId="5" fillId="2" borderId="0" xfId="0" applyFont="1" applyFill="1" applyBorder="1" applyAlignment="1">
      <alignment vertical="center"/>
    </xf>
    <xf numFmtId="10" fontId="5" fillId="2" borderId="0" xfId="1" applyNumberFormat="1" applyFont="1" applyFill="1" applyBorder="1"/>
    <xf numFmtId="0" fontId="5" fillId="2" borderId="0" xfId="0" applyFont="1" applyFill="1" applyBorder="1" applyAlignment="1">
      <alignment vertical="center" wrapText="1"/>
    </xf>
    <xf numFmtId="1" fontId="5" fillId="2" borderId="0" xfId="0" applyNumberFormat="1" applyFont="1" applyFill="1" applyBorder="1" applyAlignment="1">
      <alignment horizontal="center" vertical="center"/>
    </xf>
    <xf numFmtId="0" fontId="5" fillId="2" borderId="8" xfId="0" applyFont="1" applyFill="1" applyBorder="1" applyAlignment="1">
      <alignment vertical="center" wrapText="1"/>
    </xf>
    <xf numFmtId="1" fontId="5" fillId="2" borderId="8" xfId="0" applyNumberFormat="1" applyFont="1" applyFill="1" applyBorder="1" applyAlignment="1">
      <alignment horizontal="center" vertical="center"/>
    </xf>
    <xf numFmtId="1" fontId="5" fillId="2" borderId="11" xfId="0" applyNumberFormat="1" applyFont="1" applyFill="1" applyBorder="1" applyAlignment="1">
      <alignment horizontal="center"/>
    </xf>
    <xf numFmtId="1" fontId="5" fillId="2" borderId="8" xfId="0" applyNumberFormat="1" applyFont="1" applyFill="1" applyBorder="1" applyAlignment="1">
      <alignment horizontal="center"/>
    </xf>
    <xf numFmtId="1" fontId="5" fillId="2" borderId="11" xfId="0" applyNumberFormat="1" applyFont="1" applyFill="1" applyBorder="1" applyAlignment="1">
      <alignment horizontal="center" vertical="center"/>
    </xf>
    <xf numFmtId="0" fontId="5" fillId="2" borderId="0" xfId="0" quotePrefix="1" applyFont="1" applyFill="1" applyBorder="1" applyAlignment="1">
      <alignment horizontal="center"/>
    </xf>
    <xf numFmtId="0" fontId="5" fillId="2" borderId="11" xfId="0" applyFont="1" applyFill="1" applyBorder="1" applyAlignment="1">
      <alignment horizontal="left"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53506</xdr:colOff>
      <xdr:row>17</xdr:row>
      <xdr:rowOff>20377</xdr:rowOff>
    </xdr:from>
    <xdr:to>
      <xdr:col>7</xdr:col>
      <xdr:colOff>673739</xdr:colOff>
      <xdr:row>18</xdr:row>
      <xdr:rowOff>38101</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53506" y="3906577"/>
          <a:ext cx="9307033" cy="24632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solidFill>
                <a:sysClr val="windowText" lastClr="000000"/>
              </a:solidFill>
              <a:latin typeface="Arial" panose="020B0604020202020204" pitchFamily="34" charset="0"/>
              <a:cs typeface="Arial" panose="020B0604020202020204" pitchFamily="34" charset="0"/>
            </a:rPr>
            <a:t>Note: </a:t>
          </a:r>
          <a:r>
            <a:rPr lang="fr-FR" sz="800">
              <a:solidFill>
                <a:schemeClr val="tx1"/>
              </a:solidFill>
              <a:latin typeface="Arial" panose="020B0604020202020204" pitchFamily="34" charset="0"/>
              <a:cs typeface="Arial" panose="020B0604020202020204" pitchFamily="34" charset="0"/>
            </a:rPr>
            <a:t>Toutes les analyses ont été réalisées sur les données de la période 2019 - 2021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50763</xdr:colOff>
      <xdr:row>6</xdr:row>
      <xdr:rowOff>19051</xdr:rowOff>
    </xdr:from>
    <xdr:to>
      <xdr:col>5</xdr:col>
      <xdr:colOff>733537</xdr:colOff>
      <xdr:row>8</xdr:row>
      <xdr:rowOff>94763</xdr:rowOff>
    </xdr:to>
    <xdr:sp macro="" textlink="">
      <xdr:nvSpPr>
        <xdr:cNvPr id="4" name="ZoneTexte 3">
          <a:extLst>
            <a:ext uri="{FF2B5EF4-FFF2-40B4-BE49-F238E27FC236}">
              <a16:creationId xmlns:a16="http://schemas.microsoft.com/office/drawing/2014/main" id="{FF69F437-3F52-4554-9C6F-8BA81433E275}"/>
            </a:ext>
          </a:extLst>
        </xdr:cNvPr>
        <xdr:cNvSpPr txBox="1"/>
      </xdr:nvSpPr>
      <xdr:spPr>
        <a:xfrm>
          <a:off x="50763" y="1562101"/>
          <a:ext cx="8245624" cy="418612"/>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b="0" i="0">
              <a:solidFill>
                <a:schemeClr val="dk1"/>
              </a:solidFill>
              <a:effectLst/>
              <a:latin typeface="Arial" panose="020B0604020202020204" pitchFamily="34" charset="0"/>
              <a:ea typeface="+mn-ea"/>
              <a:cs typeface="Arial" panose="020B0604020202020204" pitchFamily="34" charset="0"/>
            </a:rPr>
            <a:t>Certains </a:t>
          </a:r>
          <a:r>
            <a:rPr lang="fr-FR" sz="800" b="0">
              <a:solidFill>
                <a:schemeClr val="dk1"/>
              </a:solidFill>
              <a:latin typeface="Arial" panose="020B0604020202020204" pitchFamily="34" charset="0"/>
              <a:ea typeface="+mn-ea"/>
              <a:cs typeface="Arial" panose="020B0604020202020204" pitchFamily="34" charset="0"/>
            </a:rPr>
            <a:t>des cas de ce tableau auront plus d'une anomalie et apparaîtront dans plusieurs lignes du tableau.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8</xdr:row>
      <xdr:rowOff>15240</xdr:rowOff>
    </xdr:from>
    <xdr:to>
      <xdr:col>6</xdr:col>
      <xdr:colOff>456079</xdr:colOff>
      <xdr:row>10</xdr:row>
      <xdr:rowOff>102382</xdr:rowOff>
    </xdr:to>
    <xdr:sp macro="" textlink="">
      <xdr:nvSpPr>
        <xdr:cNvPr id="4" name="ZoneTexte 3">
          <a:extLst>
            <a:ext uri="{FF2B5EF4-FFF2-40B4-BE49-F238E27FC236}">
              <a16:creationId xmlns:a16="http://schemas.microsoft.com/office/drawing/2014/main" id="{87F03B21-F4B3-4C4F-B27B-57030FDEC97A}"/>
            </a:ext>
          </a:extLst>
        </xdr:cNvPr>
        <xdr:cNvSpPr txBox="1"/>
      </xdr:nvSpPr>
      <xdr:spPr>
        <a:xfrm>
          <a:off x="66675" y="2139315"/>
          <a:ext cx="8247529" cy="430042"/>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b="0" i="0">
              <a:solidFill>
                <a:schemeClr val="dk1"/>
              </a:solidFill>
              <a:effectLst/>
              <a:latin typeface="Arial" panose="020B0604020202020204" pitchFamily="34" charset="0"/>
              <a:ea typeface="+mn-ea"/>
              <a:cs typeface="Arial" panose="020B0604020202020204" pitchFamily="34" charset="0"/>
            </a:rPr>
            <a:t>Certains </a:t>
          </a:r>
          <a:r>
            <a:rPr lang="fr-FR" sz="800" b="0">
              <a:solidFill>
                <a:schemeClr val="dk1"/>
              </a:solidFill>
              <a:latin typeface="Arial" panose="020B0604020202020204" pitchFamily="34" charset="0"/>
              <a:ea typeface="+mn-ea"/>
              <a:cs typeface="Arial" panose="020B0604020202020204" pitchFamily="34" charset="0"/>
            </a:rPr>
            <a:t>des cas de ce tableau auront plus d'une anomalie et apparaîtront dans plusieurs lignes du tableau.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46207</xdr:colOff>
      <xdr:row>10</xdr:row>
      <xdr:rowOff>113490</xdr:rowOff>
    </xdr:from>
    <xdr:to>
      <xdr:col>8</xdr:col>
      <xdr:colOff>854936</xdr:colOff>
      <xdr:row>13</xdr:row>
      <xdr:rowOff>85726</xdr:rowOff>
    </xdr:to>
    <xdr:sp macro="" textlink="">
      <xdr:nvSpPr>
        <xdr:cNvPr id="3" name="ZoneTexte 2">
          <a:extLst>
            <a:ext uri="{FF2B5EF4-FFF2-40B4-BE49-F238E27FC236}">
              <a16:creationId xmlns:a16="http://schemas.microsoft.com/office/drawing/2014/main" id="{D73D02DF-C375-495A-8D0F-31598100C534}"/>
            </a:ext>
          </a:extLst>
        </xdr:cNvPr>
        <xdr:cNvSpPr txBox="1"/>
      </xdr:nvSpPr>
      <xdr:spPr>
        <a:xfrm>
          <a:off x="46207" y="2409015"/>
          <a:ext cx="11581504" cy="486586"/>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1">
              <a:solidFill>
                <a:schemeClr val="dk1"/>
              </a:solidFill>
              <a:effectLst/>
              <a:latin typeface="Arial" panose="020B0604020202020204" pitchFamily="34" charset="0"/>
              <a:ea typeface="+mn-ea"/>
              <a:cs typeface="Arial" panose="020B0604020202020204" pitchFamily="34" charset="0"/>
            </a:rPr>
            <a:t>Note: </a:t>
          </a:r>
        </a:p>
        <a:p>
          <a:r>
            <a:rPr lang="fr-FR" sz="800" b="0" i="0">
              <a:solidFill>
                <a:schemeClr val="dk1"/>
              </a:solidFill>
              <a:effectLst/>
              <a:latin typeface="Arial" panose="020B0604020202020204" pitchFamily="34" charset="0"/>
              <a:ea typeface="+mn-ea"/>
              <a:cs typeface="Arial" panose="020B0604020202020204" pitchFamily="34" charset="0"/>
            </a:rPr>
            <a:t>IMG= interruption médicale de grossesse</a:t>
          </a:r>
        </a:p>
        <a:p>
          <a:r>
            <a:rPr lang="fr-FR" sz="800" b="0" i="0">
              <a:solidFill>
                <a:schemeClr val="dk1"/>
              </a:solidFill>
              <a:effectLst/>
              <a:latin typeface="Arial" panose="020B0604020202020204" pitchFamily="34" charset="0"/>
              <a:ea typeface="+mn-ea"/>
              <a:cs typeface="Arial" panose="020B0604020202020204" pitchFamily="34" charset="0"/>
            </a:rPr>
            <a:t>Certains des cas de ce tableau auront plus d'une anomalie et apparaîtront dans plusieurs lignes du tableau.</a:t>
          </a:r>
          <a:endParaRPr lang="fr-FR" sz="8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11431</xdr:colOff>
      <xdr:row>9</xdr:row>
      <xdr:rowOff>2080</xdr:rowOff>
    </xdr:from>
    <xdr:to>
      <xdr:col>6</xdr:col>
      <xdr:colOff>19050</xdr:colOff>
      <xdr:row>11</xdr:row>
      <xdr:rowOff>123825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1431" y="2126155"/>
          <a:ext cx="7360919" cy="502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Notes</a:t>
          </a:r>
        </a:p>
        <a:p>
          <a:r>
            <a:rPr lang="fr-FR" sz="800" b="0">
              <a:latin typeface="Arial" panose="020B0604020202020204" pitchFamily="34" charset="0"/>
              <a:cs typeface="Arial" panose="020B0604020202020204" pitchFamily="34" charset="0"/>
            </a:rPr>
            <a:t>- Numérateur: nombre total de cas d'anomalies congénitales (2019-2021)</a:t>
          </a:r>
        </a:p>
        <a:p>
          <a:r>
            <a:rPr lang="fr-FR" sz="800" b="0">
              <a:latin typeface="Arial" panose="020B0604020202020204" pitchFamily="34" charset="0"/>
              <a:cs typeface="Arial" panose="020B0604020202020204" pitchFamily="34" charset="0"/>
            </a:rPr>
            <a:t>- Dénominateur: Nombre de naissances vivantes + nombre</a:t>
          </a:r>
          <a:r>
            <a:rPr lang="fr-FR" sz="800" b="0" baseline="0">
              <a:latin typeface="Arial" panose="020B0604020202020204" pitchFamily="34" charset="0"/>
              <a:cs typeface="Arial" panose="020B0604020202020204" pitchFamily="34" charset="0"/>
            </a:rPr>
            <a:t> de mort-nés &gt; 22 semaines d'aménorrhée</a:t>
          </a:r>
          <a:endParaRPr lang="fr-FR" sz="800" b="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39110</xdr:colOff>
      <xdr:row>1</xdr:row>
      <xdr:rowOff>47475</xdr:rowOff>
    </xdr:from>
    <xdr:to>
      <xdr:col>10</xdr:col>
      <xdr:colOff>421005</xdr:colOff>
      <xdr:row>3</xdr:row>
      <xdr:rowOff>83820</xdr:rowOff>
    </xdr:to>
    <xdr:sp macro="" textlink="">
      <xdr:nvSpPr>
        <xdr:cNvPr id="2" name="ZoneTexte 1">
          <a:extLst>
            <a:ext uri="{FF2B5EF4-FFF2-40B4-BE49-F238E27FC236}">
              <a16:creationId xmlns:a16="http://schemas.microsoft.com/office/drawing/2014/main" id="{A9688DF8-C657-4C9F-8902-D8F207FD704F}"/>
            </a:ext>
          </a:extLst>
        </xdr:cNvPr>
        <xdr:cNvSpPr txBox="1"/>
      </xdr:nvSpPr>
      <xdr:spPr>
        <a:xfrm>
          <a:off x="39110" y="371325"/>
          <a:ext cx="11888095" cy="38877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solidFill>
                <a:srgbClr val="002060"/>
              </a:solidFill>
              <a:latin typeface="Arial" panose="020B0604020202020204" pitchFamily="34" charset="0"/>
              <a:cs typeface="Arial" panose="020B0604020202020204" pitchFamily="34" charset="0"/>
            </a:rPr>
            <a:t>Contexte et justification</a:t>
          </a:r>
        </a:p>
        <a:p>
          <a:r>
            <a:rPr lang="fr-FR" sz="1000">
              <a:latin typeface="Arial" panose="020B0604020202020204" pitchFamily="34" charset="0"/>
              <a:cs typeface="Arial" panose="020B0604020202020204" pitchFamily="34" charset="0"/>
            </a:rPr>
            <a:t>Le registre de Paris ne recense que les cas diagnostiqués jusqu’à la sortie de maternité ou pendant une hospitalisation néonatale, alors que les autres registres incluent les cas diagnostiqués jusqu’à 12 mois. </a:t>
          </a:r>
        </a:p>
        <a:p>
          <a:r>
            <a:rPr lang="fr-FR" sz="1000">
              <a:latin typeface="Arial" panose="020B0604020202020204" pitchFamily="34" charset="0"/>
              <a:cs typeface="Arial" panose="020B0604020202020204" pitchFamily="34" charset="0"/>
            </a:rPr>
            <a:t>Une analyse a été réalisée pour estimer les cas supplémentaires que le registre de Paris aurait enregistrés s’il avait utilisé la même durée d’enregistrement des cas que les autres registres.</a:t>
          </a:r>
        </a:p>
      </xdr:txBody>
    </xdr:sp>
    <xdr:clientData/>
  </xdr:twoCellAnchor>
  <xdr:twoCellAnchor>
    <xdr:from>
      <xdr:col>0</xdr:col>
      <xdr:colOff>49904</xdr:colOff>
      <xdr:row>12</xdr:row>
      <xdr:rowOff>130251</xdr:rowOff>
    </xdr:from>
    <xdr:to>
      <xdr:col>8</xdr:col>
      <xdr:colOff>65330</xdr:colOff>
      <xdr:row>14</xdr:row>
      <xdr:rowOff>180975</xdr:rowOff>
    </xdr:to>
    <xdr:sp macro="" textlink="">
      <xdr:nvSpPr>
        <xdr:cNvPr id="3" name="ZoneTexte 2">
          <a:extLst>
            <a:ext uri="{FF2B5EF4-FFF2-40B4-BE49-F238E27FC236}">
              <a16:creationId xmlns:a16="http://schemas.microsoft.com/office/drawing/2014/main" id="{0950549C-477D-4AA6-9846-0133987AD6E4}"/>
            </a:ext>
          </a:extLst>
        </xdr:cNvPr>
        <xdr:cNvSpPr txBox="1"/>
      </xdr:nvSpPr>
      <xdr:spPr>
        <a:xfrm>
          <a:off x="49904" y="3797376"/>
          <a:ext cx="9016551" cy="39362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a:latin typeface="Arial" panose="020B0604020202020204" pitchFamily="34" charset="0"/>
              <a:cs typeface="Arial" panose="020B0604020202020204" pitchFamily="34" charset="0"/>
            </a:rPr>
            <a:t>Au total, 251 cas manquants ont été estimés pour Paris. </a:t>
          </a:r>
        </a:p>
        <a:p>
          <a:r>
            <a:rPr lang="fr-FR" sz="1000" b="0">
              <a:latin typeface="Arial" panose="020B0604020202020204" pitchFamily="34" charset="0"/>
              <a:cs typeface="Arial" panose="020B0604020202020204" pitchFamily="34" charset="0"/>
            </a:rPr>
            <a:t>Après correction, la prévalence est ajustée à 363,9 pour 10 000 naissances (2587 cas / 71 100 * 10 000 naissances)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74294</xdr:colOff>
      <xdr:row>15</xdr:row>
      <xdr:rowOff>20956</xdr:rowOff>
    </xdr:from>
    <xdr:to>
      <xdr:col>6</xdr:col>
      <xdr:colOff>246529</xdr:colOff>
      <xdr:row>17</xdr:row>
      <xdr:rowOff>133350</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74294" y="2926081"/>
          <a:ext cx="9001910" cy="45529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Nombre total</a:t>
          </a:r>
          <a:r>
            <a:rPr lang="fr-FR" sz="800" b="0" baseline="0">
              <a:latin typeface="Arial" panose="020B0604020202020204" pitchFamily="34" charset="0"/>
              <a:cs typeface="Arial" panose="020B0604020202020204" pitchFamily="34" charset="0"/>
            </a:rPr>
            <a:t> de cas = 9 429</a:t>
          </a:r>
        </a:p>
        <a:p>
          <a:r>
            <a:rPr lang="fr-FR" sz="800" b="0">
              <a:latin typeface="Arial" panose="020B0604020202020204" pitchFamily="34" charset="0"/>
              <a:cs typeface="Arial" panose="020B0604020202020204" pitchFamily="34" charset="0"/>
            </a:rPr>
            <a:t>Note: Un même fœtus, nouveau-né ou enfants atteints de plusieurs groupes d’anomalies peut être compté dans plusieurs des barres correspondantes du graphique. Par exemple, un fœtus présentant une malformation cardiaque congénitale, une anomalie des membres et une anomalie génétique, serait représenté dans les trois barres respectives.</a:t>
          </a:r>
        </a:p>
        <a:p>
          <a:endParaRPr lang="fr-FR" sz="1200" b="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46728</xdr:colOff>
      <xdr:row>15</xdr:row>
      <xdr:rowOff>17967</xdr:rowOff>
    </xdr:from>
    <xdr:to>
      <xdr:col>5</xdr:col>
      <xdr:colOff>1184648</xdr:colOff>
      <xdr:row>17</xdr:row>
      <xdr:rowOff>145677</xdr:rowOff>
    </xdr:to>
    <xdr:sp macro="" textlink="">
      <xdr:nvSpPr>
        <xdr:cNvPr id="3" name="ZoneTexte 2">
          <a:extLst>
            <a:ext uri="{FF2B5EF4-FFF2-40B4-BE49-F238E27FC236}">
              <a16:creationId xmlns:a16="http://schemas.microsoft.com/office/drawing/2014/main" id="{65D62596-6980-46DA-A2C9-CFA3020552E2}"/>
            </a:ext>
          </a:extLst>
        </xdr:cNvPr>
        <xdr:cNvSpPr txBox="1"/>
      </xdr:nvSpPr>
      <xdr:spPr>
        <a:xfrm>
          <a:off x="46728" y="2897879"/>
          <a:ext cx="8926008" cy="463886"/>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Nombre total</a:t>
          </a:r>
          <a:r>
            <a:rPr lang="fr-FR" sz="800" b="0" baseline="0">
              <a:latin typeface="Arial" panose="020B0604020202020204" pitchFamily="34" charset="0"/>
              <a:cs typeface="Arial" panose="020B0604020202020204" pitchFamily="34" charset="0"/>
            </a:rPr>
            <a:t> de cas = 9 429</a:t>
          </a:r>
        </a:p>
        <a:p>
          <a:r>
            <a:rPr lang="fr-FR" sz="800" b="0">
              <a:latin typeface="Arial" panose="020B0604020202020204" pitchFamily="34" charset="0"/>
              <a:cs typeface="Arial" panose="020B0604020202020204" pitchFamily="34" charset="0"/>
            </a:rPr>
            <a:t>Note: Un même fœtus, nouveau-né ou enfants atteints de plusieurs groupes d’anomalies peut être compté dans plusieurs des barres correspondantes du graphique. Par exemple, un fœtus présentant une malformation cardiaque congénitale, une anomalie des membres et une anomalie génétique, serait représenté dans les trois barres respectives.</a:t>
          </a:r>
        </a:p>
        <a:p>
          <a:endParaRPr lang="fr-FR" sz="1200" b="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14</xdr:row>
      <xdr:rowOff>266700</xdr:rowOff>
    </xdr:from>
    <xdr:to>
      <xdr:col>8</xdr:col>
      <xdr:colOff>196850</xdr:colOff>
      <xdr:row>17</xdr:row>
      <xdr:rowOff>116280</xdr:rowOff>
    </xdr:to>
    <xdr:sp macro="" textlink="">
      <xdr:nvSpPr>
        <xdr:cNvPr id="3" name="ZoneTexte 2">
          <a:extLst>
            <a:ext uri="{FF2B5EF4-FFF2-40B4-BE49-F238E27FC236}">
              <a16:creationId xmlns:a16="http://schemas.microsoft.com/office/drawing/2014/main" id="{AA3131B8-C0A6-45F8-B833-4DB7C8AD8B83}"/>
            </a:ext>
          </a:extLst>
        </xdr:cNvPr>
        <xdr:cNvSpPr txBox="1"/>
      </xdr:nvSpPr>
      <xdr:spPr>
        <a:xfrm>
          <a:off x="66675" y="3009900"/>
          <a:ext cx="8912225" cy="468705"/>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Nombre total</a:t>
          </a:r>
          <a:r>
            <a:rPr lang="fr-FR" sz="800" b="0" baseline="0">
              <a:latin typeface="Arial" panose="020B0604020202020204" pitchFamily="34" charset="0"/>
              <a:cs typeface="Arial" panose="020B0604020202020204" pitchFamily="34" charset="0"/>
            </a:rPr>
            <a:t> de cas = 9 429</a:t>
          </a:r>
        </a:p>
        <a:p>
          <a:r>
            <a:rPr lang="fr-FR" sz="800" b="0">
              <a:latin typeface="Arial" panose="020B0604020202020204" pitchFamily="34" charset="0"/>
              <a:cs typeface="Arial" panose="020B0604020202020204" pitchFamily="34" charset="0"/>
            </a:rPr>
            <a:t>Note: Un même fœtus, nouveau-né ou enfants atteints de plusieurs groupes d’anomalies peut être compté dans plusieurs des barres correspondantes du graphique. Par exemple, un fœtus présentant une malformation cardiaque congénitale, une anomalie des membres et une anomalie génétique, serait représenté dans les trois barres respectives.</a:t>
          </a:r>
        </a:p>
        <a:p>
          <a:endParaRPr lang="fr-FR" sz="12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15</xdr:row>
      <xdr:rowOff>28575</xdr:rowOff>
    </xdr:from>
    <xdr:to>
      <xdr:col>5</xdr:col>
      <xdr:colOff>1050290</xdr:colOff>
      <xdr:row>17</xdr:row>
      <xdr:rowOff>158190</xdr:rowOff>
    </xdr:to>
    <xdr:sp macro="" textlink="">
      <xdr:nvSpPr>
        <xdr:cNvPr id="4" name="ZoneTexte 3">
          <a:extLst>
            <a:ext uri="{FF2B5EF4-FFF2-40B4-BE49-F238E27FC236}">
              <a16:creationId xmlns:a16="http://schemas.microsoft.com/office/drawing/2014/main" id="{0EEB76AD-23FE-49DC-B493-DCB95975232B}"/>
            </a:ext>
          </a:extLst>
        </xdr:cNvPr>
        <xdr:cNvSpPr txBox="1"/>
      </xdr:nvSpPr>
      <xdr:spPr>
        <a:xfrm>
          <a:off x="47625" y="2952750"/>
          <a:ext cx="8917940" cy="472515"/>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Nombre total</a:t>
          </a:r>
          <a:r>
            <a:rPr lang="fr-FR" sz="800" b="0" baseline="0">
              <a:latin typeface="Arial" panose="020B0604020202020204" pitchFamily="34" charset="0"/>
              <a:cs typeface="Arial" panose="020B0604020202020204" pitchFamily="34" charset="0"/>
            </a:rPr>
            <a:t> de cas = 9 429</a:t>
          </a:r>
        </a:p>
        <a:p>
          <a:r>
            <a:rPr lang="fr-FR" sz="800" b="0">
              <a:latin typeface="Arial" panose="020B0604020202020204" pitchFamily="34" charset="0"/>
              <a:cs typeface="Arial" panose="020B0604020202020204" pitchFamily="34" charset="0"/>
            </a:rPr>
            <a:t>Note: Un même fœtus, nouveau-né ou enfants atteints de plusieurs groupes d’anomalies peut être compté dans plusieurs des barres correspondantes du graphique. Par exemple, un fœtus présentant une malformation cardiaque congénitale, une anomalie des membres et une anomalie génétique, serait représenté dans les trois barres respectives.</a:t>
          </a:r>
        </a:p>
        <a:p>
          <a:endParaRPr lang="fr-FR" sz="12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57149</xdr:colOff>
      <xdr:row>10</xdr:row>
      <xdr:rowOff>16735</xdr:rowOff>
    </xdr:from>
    <xdr:to>
      <xdr:col>5</xdr:col>
      <xdr:colOff>1007744</xdr:colOff>
      <xdr:row>12</xdr:row>
      <xdr:rowOff>87629</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57149" y="2350360"/>
          <a:ext cx="8246745" cy="41379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b="0" i="0">
              <a:solidFill>
                <a:schemeClr val="dk1"/>
              </a:solidFill>
              <a:effectLst/>
              <a:latin typeface="Arial" panose="020B0604020202020204" pitchFamily="34" charset="0"/>
              <a:ea typeface="+mn-ea"/>
              <a:cs typeface="Arial" panose="020B0604020202020204" pitchFamily="34" charset="0"/>
            </a:rPr>
            <a:t>Certains </a:t>
          </a:r>
          <a:r>
            <a:rPr lang="fr-FR" sz="800" b="0">
              <a:solidFill>
                <a:schemeClr val="dk1"/>
              </a:solidFill>
              <a:latin typeface="Arial" panose="020B0604020202020204" pitchFamily="34" charset="0"/>
              <a:ea typeface="+mn-ea"/>
              <a:cs typeface="Arial" panose="020B0604020202020204" pitchFamily="34" charset="0"/>
            </a:rPr>
            <a:t>des cas de ce tableau auront plus d'une anomalie et apparaîtront dans plusieurs lignes du tableau.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27</xdr:row>
      <xdr:rowOff>19050</xdr:rowOff>
    </xdr:from>
    <xdr:to>
      <xdr:col>4</xdr:col>
      <xdr:colOff>807720</xdr:colOff>
      <xdr:row>29</xdr:row>
      <xdr:rowOff>86134</xdr:rowOff>
    </xdr:to>
    <xdr:sp macro="" textlink="">
      <xdr:nvSpPr>
        <xdr:cNvPr id="5" name="ZoneTexte 4">
          <a:extLst>
            <a:ext uri="{FF2B5EF4-FFF2-40B4-BE49-F238E27FC236}">
              <a16:creationId xmlns:a16="http://schemas.microsoft.com/office/drawing/2014/main" id="{645A7D48-02F0-44BA-9FEF-B7D1BD329287}"/>
            </a:ext>
          </a:extLst>
        </xdr:cNvPr>
        <xdr:cNvSpPr txBox="1"/>
      </xdr:nvSpPr>
      <xdr:spPr>
        <a:xfrm>
          <a:off x="47625" y="5305425"/>
          <a:ext cx="8246745" cy="40998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b="0" i="0">
              <a:solidFill>
                <a:schemeClr val="dk1"/>
              </a:solidFill>
              <a:effectLst/>
              <a:latin typeface="Arial" panose="020B0604020202020204" pitchFamily="34" charset="0"/>
              <a:ea typeface="+mn-ea"/>
              <a:cs typeface="Arial" panose="020B0604020202020204" pitchFamily="34" charset="0"/>
            </a:rPr>
            <a:t>Certains </a:t>
          </a:r>
          <a:r>
            <a:rPr lang="fr-FR" sz="800" b="0">
              <a:solidFill>
                <a:schemeClr val="dk1"/>
              </a:solidFill>
              <a:latin typeface="Arial" panose="020B0604020202020204" pitchFamily="34" charset="0"/>
              <a:ea typeface="+mn-ea"/>
              <a:cs typeface="Arial" panose="020B0604020202020204" pitchFamily="34" charset="0"/>
            </a:rPr>
            <a:t>des cas de ce tableau auront plus d'une anomalie et apparaîtront dans plusieurs lignes du tableau.</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zoomScaleNormal="100" workbookViewId="0">
      <selection sqref="A1:L1"/>
    </sheetView>
  </sheetViews>
  <sheetFormatPr baseColWidth="10" defaultColWidth="11.44140625" defaultRowHeight="18" customHeight="1" x14ac:dyDescent="0.25"/>
  <cols>
    <col min="1" max="1" width="58.33203125" style="8" bestFit="1" customWidth="1"/>
    <col min="2" max="8" width="11.44140625" style="8"/>
    <col min="9" max="9" width="20.5546875" style="8" customWidth="1"/>
    <col min="10" max="16384" width="11.44140625" style="8"/>
  </cols>
  <sheetData>
    <row r="1" spans="1:12" ht="18" customHeight="1" thickBot="1" x14ac:dyDescent="0.3">
      <c r="A1" s="105" t="s">
        <v>58</v>
      </c>
      <c r="B1" s="105"/>
      <c r="C1" s="105"/>
      <c r="D1" s="105"/>
      <c r="E1" s="105"/>
      <c r="F1" s="105"/>
      <c r="G1" s="105"/>
      <c r="H1" s="105"/>
      <c r="I1" s="105"/>
      <c r="J1" s="105"/>
      <c r="K1" s="105"/>
      <c r="L1" s="105"/>
    </row>
    <row r="2" spans="1:12" ht="18" customHeight="1" thickTop="1" x14ac:dyDescent="0.25">
      <c r="A2" s="106" t="s">
        <v>189</v>
      </c>
      <c r="B2" s="106"/>
      <c r="C2" s="106"/>
      <c r="D2" s="106"/>
      <c r="E2" s="106"/>
      <c r="F2" s="106"/>
      <c r="G2" s="106"/>
      <c r="H2" s="106"/>
      <c r="I2" s="106"/>
      <c r="J2" s="6"/>
      <c r="K2" s="6"/>
      <c r="L2" s="6"/>
    </row>
    <row r="3" spans="1:12" ht="18" customHeight="1" x14ac:dyDescent="0.25">
      <c r="B3" s="9"/>
    </row>
    <row r="4" spans="1:12" ht="18" customHeight="1" x14ac:dyDescent="0.25">
      <c r="A4" s="10" t="s">
        <v>18</v>
      </c>
      <c r="B4" s="9" t="s">
        <v>25</v>
      </c>
    </row>
    <row r="5" spans="1:12" ht="18" customHeight="1" x14ac:dyDescent="0.25">
      <c r="A5" s="11" t="s">
        <v>155</v>
      </c>
      <c r="B5" s="9"/>
    </row>
    <row r="6" spans="1:12" ht="18" customHeight="1" x14ac:dyDescent="0.25">
      <c r="A6" s="10" t="s">
        <v>20</v>
      </c>
      <c r="B6" s="9" t="s">
        <v>135</v>
      </c>
    </row>
    <row r="7" spans="1:12" ht="18" customHeight="1" x14ac:dyDescent="0.25">
      <c r="A7" s="10" t="s">
        <v>21</v>
      </c>
      <c r="B7" s="9" t="s">
        <v>136</v>
      </c>
    </row>
    <row r="8" spans="1:12" ht="18" customHeight="1" x14ac:dyDescent="0.25">
      <c r="A8" s="10" t="s">
        <v>22</v>
      </c>
      <c r="B8" s="9" t="s">
        <v>138</v>
      </c>
    </row>
    <row r="9" spans="1:12" ht="18" customHeight="1" x14ac:dyDescent="0.25">
      <c r="A9" s="10" t="s">
        <v>24</v>
      </c>
      <c r="B9" s="9" t="s">
        <v>139</v>
      </c>
    </row>
    <row r="10" spans="1:12" ht="18" customHeight="1" x14ac:dyDescent="0.25">
      <c r="A10" s="10" t="s">
        <v>137</v>
      </c>
      <c r="B10" s="9" t="s">
        <v>198</v>
      </c>
    </row>
    <row r="11" spans="1:12" ht="18" customHeight="1" x14ac:dyDescent="0.25">
      <c r="A11" s="10" t="s">
        <v>26</v>
      </c>
      <c r="B11" s="9" t="s">
        <v>199</v>
      </c>
    </row>
    <row r="12" spans="1:12" ht="18" customHeight="1" x14ac:dyDescent="0.25">
      <c r="A12" s="12" t="s">
        <v>200</v>
      </c>
      <c r="B12" s="9" t="s">
        <v>190</v>
      </c>
    </row>
    <row r="13" spans="1:12" ht="18" customHeight="1" x14ac:dyDescent="0.25">
      <c r="A13" s="10" t="s">
        <v>27</v>
      </c>
      <c r="B13" s="9" t="s">
        <v>140</v>
      </c>
    </row>
    <row r="14" spans="1:12" ht="18" customHeight="1" x14ac:dyDescent="0.25">
      <c r="A14" s="10" t="s">
        <v>28</v>
      </c>
      <c r="B14" s="9" t="s">
        <v>141</v>
      </c>
    </row>
    <row r="15" spans="1:12" ht="18" customHeight="1" x14ac:dyDescent="0.25">
      <c r="A15" s="10" t="s">
        <v>29</v>
      </c>
      <c r="B15" s="9" t="s">
        <v>142</v>
      </c>
    </row>
    <row r="16" spans="1:12" ht="18" customHeight="1" x14ac:dyDescent="0.25">
      <c r="A16" s="10" t="s">
        <v>30</v>
      </c>
      <c r="B16" s="9" t="s">
        <v>143</v>
      </c>
    </row>
    <row r="17" spans="1:1" ht="18" customHeight="1" x14ac:dyDescent="0.25">
      <c r="A17" s="13"/>
    </row>
  </sheetData>
  <mergeCells count="2">
    <mergeCell ref="A1:L1"/>
    <mergeCell ref="A2:I2"/>
  </mergeCells>
  <hyperlinks>
    <hyperlink ref="A4" location="'Données Figure 2'!A1" display="Données Figure 2." xr:uid="{39AA6EB0-A0C1-4241-9444-BAC05199E753}"/>
    <hyperlink ref="A5" location="'Note Méthodologique'!A1" display="Note méthodologique" xr:uid="{7C7530BC-AD12-4B36-9C56-6CA9FF4F168F}"/>
    <hyperlink ref="A6" location="'Données Figure 3'!A1" display="Données Figure 3." xr:uid="{98269757-D6D4-421A-B567-16B14EC38616}"/>
    <hyperlink ref="A7" location="'Données Figure 4'!A1" display="Données Figure 4." xr:uid="{3261EBFD-DC3A-4D94-9959-30C315C23442}"/>
    <hyperlink ref="A8" location="'Données Figure 5'!A1" display="Données Figure 5." xr:uid="{4A2F558A-F590-4212-9AF6-AD0FB7042E7D}"/>
    <hyperlink ref="A9" location="'Données Figure 6'!A1" display="Données Figure 6." xr:uid="{B70D8215-019C-4435-AB09-EDF3936FDF35}"/>
    <hyperlink ref="A10" location="'Données Figure 7'!A1" display="Données Figure 7." xr:uid="{96B75DF7-8AA2-41AF-BF81-FE80C28DA0FF}"/>
    <hyperlink ref="A11" location="'Données Tableau 2'!A1" display="Données Tableau 2." xr:uid="{5AB0FFCE-7CD8-4505-A0AD-080FB593A8B5}"/>
    <hyperlink ref="A13" location="'Données Tableau 3'!A1" display="Données Tableau 3." xr:uid="{6FE48B63-2732-4ED4-BB66-D8FD6380936E}"/>
    <hyperlink ref="A14" location="'Données Tableau 4'!A1" display="Données Tableau 4." xr:uid="{3CA6B9D1-6A5A-40EE-8D1F-11902918A2E9}"/>
    <hyperlink ref="A15" location="'Données Tableau 5'!A1" display="Données Tableau 5." xr:uid="{4C70ED97-67E1-401E-9EA7-B53AE21512AE}"/>
    <hyperlink ref="A16" location="'Données Tableau 6'!A1" display="Données Tableau 6." xr:uid="{475C51BC-3010-4CA9-B9F0-9B188B284280}"/>
    <hyperlink ref="A12" location="'Données MCC'!A1" display="Données MCC." xr:uid="{CFAF9237-F69A-464B-9F94-4D6A5B255CD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27D3-72F9-4561-936D-EC694F21A3AF}">
  <dimension ref="A1:I26"/>
  <sheetViews>
    <sheetView zoomScaleNormal="100" workbookViewId="0"/>
  </sheetViews>
  <sheetFormatPr baseColWidth="10" defaultColWidth="11.5546875" defaultRowHeight="13.2" x14ac:dyDescent="0.25"/>
  <cols>
    <col min="1" max="1" width="61.21875" style="5" customWidth="1"/>
    <col min="2" max="2" width="13" style="28" customWidth="1"/>
    <col min="3" max="3" width="20.21875" style="28" customWidth="1"/>
    <col min="4" max="4" width="14.5546875" style="28" customWidth="1"/>
    <col min="5" max="5" width="14" style="28" bestFit="1" customWidth="1"/>
    <col min="6" max="6" width="12.77734375" style="28" customWidth="1"/>
    <col min="7" max="7" width="16" style="28" customWidth="1"/>
    <col min="8" max="8" width="15.5546875" style="28" bestFit="1" customWidth="1"/>
    <col min="9" max="16384" width="11.5546875" style="5"/>
  </cols>
  <sheetData>
    <row r="1" spans="1:9" s="7" customFormat="1" ht="25.5" customHeight="1" x14ac:dyDescent="0.3">
      <c r="A1" s="168" t="s">
        <v>201</v>
      </c>
      <c r="B1" s="14" t="s">
        <v>190</v>
      </c>
      <c r="C1" s="15"/>
      <c r="D1" s="15"/>
      <c r="E1" s="16"/>
      <c r="F1" s="16"/>
      <c r="G1" s="16"/>
      <c r="H1" s="16"/>
    </row>
    <row r="2" spans="1:9" ht="39.6" x14ac:dyDescent="0.25">
      <c r="A2" s="166"/>
      <c r="B2" s="19" t="s">
        <v>101</v>
      </c>
      <c r="C2" s="19" t="s">
        <v>53</v>
      </c>
      <c r="D2" s="88" t="s">
        <v>36</v>
      </c>
      <c r="E2" s="19" t="s">
        <v>37</v>
      </c>
      <c r="F2" s="19" t="s">
        <v>38</v>
      </c>
      <c r="G2" s="19" t="s">
        <v>74</v>
      </c>
      <c r="H2" s="19" t="s">
        <v>75</v>
      </c>
    </row>
    <row r="3" spans="1:9" ht="15.6" customHeight="1" x14ac:dyDescent="0.25">
      <c r="A3" s="166" t="s">
        <v>191</v>
      </c>
      <c r="B3" s="18"/>
      <c r="C3" s="18"/>
      <c r="D3" s="18"/>
      <c r="E3" s="84"/>
      <c r="F3" s="26"/>
      <c r="G3" s="26"/>
      <c r="H3" s="169"/>
      <c r="I3" s="160"/>
    </row>
    <row r="4" spans="1:9" ht="18.75" customHeight="1" x14ac:dyDescent="0.25">
      <c r="A4" s="170" t="s">
        <v>105</v>
      </c>
      <c r="B4" s="23">
        <v>14</v>
      </c>
      <c r="C4" s="23">
        <v>267488</v>
      </c>
      <c r="D4" s="171">
        <f>(B4/C4)*10000</f>
        <v>0.52338796506759178</v>
      </c>
      <c r="E4" s="171">
        <f>((SUMSQ((1.96/2)-SQRT(B4+0.02)))/C4)*10000</f>
        <v>0.28567693022024054</v>
      </c>
      <c r="F4" s="171">
        <f>(((SUMSQ((1.96/2)+SQRT(B4+0.96)))/C4))*10000</f>
        <v>0.87859340252568241</v>
      </c>
      <c r="G4" s="23">
        <v>50</v>
      </c>
      <c r="H4" s="30">
        <v>50</v>
      </c>
      <c r="I4" s="160"/>
    </row>
    <row r="5" spans="1:9" ht="19.5" customHeight="1" x14ac:dyDescent="0.25">
      <c r="A5" s="5" t="s">
        <v>106</v>
      </c>
      <c r="B5" s="16">
        <v>43</v>
      </c>
      <c r="C5" s="16">
        <v>267488</v>
      </c>
      <c r="D5" s="171">
        <f t="shared" ref="D5:D21" si="0">(B5/C5)*10000</f>
        <v>1.6075487498504604</v>
      </c>
      <c r="E5" s="171">
        <f t="shared" ref="E5:E21" si="1">((SUMSQ((1.96/2)-SQRT(B5+0.02)))/C5)*10000</f>
        <v>1.16359731531372</v>
      </c>
      <c r="F5" s="171">
        <f t="shared" ref="F5:F21" si="2">(((SUMSQ((1.96/2)+SQRT(B5+0.96)))/C5))*10000</f>
        <v>2.1651684640855895</v>
      </c>
      <c r="G5" s="16">
        <v>48.84</v>
      </c>
      <c r="H5" s="172">
        <v>46.51</v>
      </c>
    </row>
    <row r="6" spans="1:9" x14ac:dyDescent="0.25">
      <c r="A6" s="5" t="s">
        <v>107</v>
      </c>
      <c r="B6" s="28">
        <v>0</v>
      </c>
      <c r="C6" s="28">
        <v>267488</v>
      </c>
      <c r="D6" s="171">
        <f t="shared" si="0"/>
        <v>0</v>
      </c>
      <c r="E6" s="171">
        <f t="shared" si="1"/>
        <v>2.6289558476450287E-2</v>
      </c>
      <c r="F6" s="171">
        <f t="shared" si="2"/>
        <v>0.14358774817345121</v>
      </c>
      <c r="G6" s="28">
        <v>0</v>
      </c>
      <c r="H6" s="172">
        <v>0</v>
      </c>
    </row>
    <row r="7" spans="1:9" x14ac:dyDescent="0.25">
      <c r="A7" s="5" t="s">
        <v>108</v>
      </c>
      <c r="B7" s="28">
        <v>103</v>
      </c>
      <c r="C7" s="28">
        <v>267488</v>
      </c>
      <c r="D7" s="171">
        <f t="shared" si="0"/>
        <v>3.8506400287115681</v>
      </c>
      <c r="E7" s="171">
        <f t="shared" si="1"/>
        <v>3.1435668658322879</v>
      </c>
      <c r="F7" s="171">
        <f t="shared" si="2"/>
        <v>4.669544512178506</v>
      </c>
      <c r="G7" s="28">
        <v>80.58</v>
      </c>
      <c r="H7" s="172">
        <v>18.45</v>
      </c>
    </row>
    <row r="8" spans="1:9" x14ac:dyDescent="0.25">
      <c r="A8" s="5" t="s">
        <v>109</v>
      </c>
      <c r="B8" s="28">
        <v>27</v>
      </c>
      <c r="C8" s="28">
        <v>267488</v>
      </c>
      <c r="D8" s="171">
        <f t="shared" si="0"/>
        <v>1.0093910754874984</v>
      </c>
      <c r="E8" s="171">
        <f t="shared" si="1"/>
        <v>0.66515768662520403</v>
      </c>
      <c r="F8" s="171">
        <f t="shared" si="2"/>
        <v>1.4686391310286593</v>
      </c>
      <c r="G8" s="28">
        <v>33.33</v>
      </c>
      <c r="H8" s="172">
        <v>55.56</v>
      </c>
    </row>
    <row r="9" spans="1:9" x14ac:dyDescent="0.25">
      <c r="A9" s="5" t="s">
        <v>110</v>
      </c>
      <c r="B9" s="173">
        <v>4</v>
      </c>
      <c r="C9" s="28">
        <v>267488</v>
      </c>
      <c r="D9" s="171">
        <f t="shared" ref="D9" si="3">(B9/C9)*10000</f>
        <v>0.14953941859074052</v>
      </c>
      <c r="E9" s="171">
        <f t="shared" ref="E9" si="4">((SUMSQ((1.96/2)-SQRT(B9+0.02)))/C9)*10000</f>
        <v>3.9276985115981634E-2</v>
      </c>
      <c r="F9" s="171">
        <f t="shared" ref="F9" si="5">(((SUMSQ((1.96/2)+SQRT(B9+0.96)))/C9))*10000</f>
        <v>0.38452294160705291</v>
      </c>
      <c r="G9" s="28" t="s">
        <v>111</v>
      </c>
      <c r="H9" s="172" t="s">
        <v>111</v>
      </c>
    </row>
    <row r="10" spans="1:9" x14ac:dyDescent="0.25">
      <c r="A10" s="5" t="s">
        <v>112</v>
      </c>
      <c r="B10" s="28">
        <v>159</v>
      </c>
      <c r="C10" s="28">
        <v>267488</v>
      </c>
      <c r="D10" s="171">
        <f t="shared" si="0"/>
        <v>5.9441918889819352</v>
      </c>
      <c r="E10" s="171">
        <f t="shared" si="1"/>
        <v>5.0568319345334585</v>
      </c>
      <c r="F10" s="171">
        <f t="shared" si="2"/>
        <v>6.9427248186796948</v>
      </c>
      <c r="G10" s="28">
        <v>47.17</v>
      </c>
      <c r="H10" s="172">
        <v>46.54</v>
      </c>
    </row>
    <row r="11" spans="1:9" x14ac:dyDescent="0.25">
      <c r="A11" s="5" t="s">
        <v>113</v>
      </c>
      <c r="B11" s="28">
        <v>91</v>
      </c>
      <c r="C11" s="28">
        <v>267488</v>
      </c>
      <c r="D11" s="171">
        <f t="shared" si="0"/>
        <v>3.4020217729393472</v>
      </c>
      <c r="E11" s="171">
        <f t="shared" si="1"/>
        <v>2.7396046599035353</v>
      </c>
      <c r="F11" s="171">
        <f t="shared" si="2"/>
        <v>4.17648538418723</v>
      </c>
      <c r="G11" s="28">
        <v>74.73</v>
      </c>
      <c r="H11" s="172">
        <v>23.08</v>
      </c>
    </row>
    <row r="12" spans="1:9" x14ac:dyDescent="0.25">
      <c r="A12" s="5" t="s">
        <v>114</v>
      </c>
      <c r="B12" s="28">
        <v>15</v>
      </c>
      <c r="C12" s="28">
        <v>267488</v>
      </c>
      <c r="D12" s="171">
        <f t="shared" si="0"/>
        <v>0.56077281971527693</v>
      </c>
      <c r="E12" s="171">
        <f t="shared" si="1"/>
        <v>0.31344559864256222</v>
      </c>
      <c r="F12" s="171">
        <f t="shared" si="2"/>
        <v>0.92529735417408498</v>
      </c>
      <c r="G12" s="28">
        <v>20</v>
      </c>
      <c r="H12" s="172">
        <v>66.67</v>
      </c>
    </row>
    <row r="13" spans="1:9" x14ac:dyDescent="0.25">
      <c r="A13" s="5" t="s">
        <v>115</v>
      </c>
      <c r="B13" s="28">
        <v>12</v>
      </c>
      <c r="C13" s="28">
        <v>267488</v>
      </c>
      <c r="D13" s="171">
        <f t="shared" si="0"/>
        <v>0.44861825577222153</v>
      </c>
      <c r="E13" s="171">
        <f t="shared" si="1"/>
        <v>0.2312292572841769</v>
      </c>
      <c r="F13" s="171">
        <f t="shared" si="2"/>
        <v>0.78419966503170246</v>
      </c>
      <c r="G13" s="28">
        <v>75</v>
      </c>
      <c r="H13" s="172">
        <v>16.670000000000002</v>
      </c>
    </row>
    <row r="14" spans="1:9" x14ac:dyDescent="0.25">
      <c r="A14" s="5" t="s">
        <v>116</v>
      </c>
      <c r="B14" s="28">
        <v>27</v>
      </c>
      <c r="C14" s="28">
        <v>267488</v>
      </c>
      <c r="D14" s="171">
        <f t="shared" si="0"/>
        <v>1.0093910754874984</v>
      </c>
      <c r="E14" s="171">
        <f t="shared" si="1"/>
        <v>0.66515768662520403</v>
      </c>
      <c r="F14" s="171">
        <f t="shared" si="2"/>
        <v>1.4686391310286593</v>
      </c>
      <c r="G14" s="28">
        <v>40.74</v>
      </c>
      <c r="H14" s="172">
        <v>51.85</v>
      </c>
    </row>
    <row r="15" spans="1:9" x14ac:dyDescent="0.25">
      <c r="A15" s="5" t="s">
        <v>117</v>
      </c>
      <c r="B15" s="28">
        <f>24</f>
        <v>24</v>
      </c>
      <c r="C15" s="28">
        <v>267488</v>
      </c>
      <c r="D15" s="171">
        <f t="shared" si="0"/>
        <v>0.89723651154444306</v>
      </c>
      <c r="E15" s="171">
        <f t="shared" si="1"/>
        <v>0.57476971707901692</v>
      </c>
      <c r="F15" s="171">
        <f t="shared" si="2"/>
        <v>1.3351087473639449</v>
      </c>
      <c r="G15" s="28">
        <v>79.17</v>
      </c>
      <c r="H15" s="172">
        <v>20.83</v>
      </c>
    </row>
    <row r="16" spans="1:9" x14ac:dyDescent="0.25">
      <c r="A16" s="5" t="s">
        <v>118</v>
      </c>
      <c r="B16" s="28">
        <f>13</f>
        <v>13</v>
      </c>
      <c r="C16" s="28">
        <v>267488</v>
      </c>
      <c r="D16" s="171">
        <f t="shared" si="0"/>
        <v>0.48600311041990668</v>
      </c>
      <c r="E16" s="171">
        <f t="shared" si="1"/>
        <v>0.25825777333390143</v>
      </c>
      <c r="F16" s="171">
        <f t="shared" si="2"/>
        <v>0.83157241982330476</v>
      </c>
      <c r="G16" s="28">
        <v>53.85</v>
      </c>
      <c r="H16" s="172">
        <v>46.15</v>
      </c>
    </row>
    <row r="17" spans="1:8" x14ac:dyDescent="0.25">
      <c r="A17" s="7" t="s">
        <v>119</v>
      </c>
      <c r="B17" s="28">
        <f>85</f>
        <v>85</v>
      </c>
      <c r="C17" s="28">
        <v>267488</v>
      </c>
      <c r="D17" s="171">
        <f t="shared" si="0"/>
        <v>3.1777126450532363</v>
      </c>
      <c r="E17" s="171">
        <f t="shared" si="1"/>
        <v>2.5387294783414074</v>
      </c>
      <c r="F17" s="171">
        <f t="shared" si="2"/>
        <v>3.9288665179309299</v>
      </c>
      <c r="G17" s="28">
        <v>30.59</v>
      </c>
      <c r="H17" s="172">
        <v>68.239999999999995</v>
      </c>
    </row>
    <row r="18" spans="1:8" x14ac:dyDescent="0.25">
      <c r="A18" s="5" t="s">
        <v>120</v>
      </c>
      <c r="B18" s="28">
        <f>21</f>
        <v>21</v>
      </c>
      <c r="C18" s="28">
        <v>267488</v>
      </c>
      <c r="D18" s="171">
        <f t="shared" si="0"/>
        <v>0.78508194760138772</v>
      </c>
      <c r="E18" s="171">
        <f t="shared" si="1"/>
        <v>0.48578910400105585</v>
      </c>
      <c r="F18" s="171">
        <f t="shared" si="2"/>
        <v>1.200250239968381</v>
      </c>
      <c r="G18" s="28">
        <v>14.29</v>
      </c>
      <c r="H18" s="172">
        <v>76.19</v>
      </c>
    </row>
    <row r="19" spans="1:8" x14ac:dyDescent="0.25">
      <c r="A19" s="5" t="s">
        <v>121</v>
      </c>
      <c r="B19" s="28">
        <f>79</f>
        <v>79</v>
      </c>
      <c r="C19" s="28">
        <v>267488</v>
      </c>
      <c r="D19" s="171">
        <f t="shared" si="0"/>
        <v>2.9534035171671249</v>
      </c>
      <c r="E19" s="171">
        <f t="shared" si="1"/>
        <v>2.33869683534685</v>
      </c>
      <c r="F19" s="171">
        <f t="shared" si="2"/>
        <v>3.6804189235550306</v>
      </c>
      <c r="G19" s="28">
        <v>98.73</v>
      </c>
      <c r="H19" s="172">
        <v>1.27</v>
      </c>
    </row>
    <row r="20" spans="1:8" x14ac:dyDescent="0.25">
      <c r="A20" s="5" t="s">
        <v>122</v>
      </c>
      <c r="B20" s="28">
        <f>17</f>
        <v>17</v>
      </c>
      <c r="C20" s="28">
        <v>267488</v>
      </c>
      <c r="D20" s="171">
        <f t="shared" si="0"/>
        <v>0.63554252901064723</v>
      </c>
      <c r="E20" s="171">
        <f t="shared" si="1"/>
        <v>0.36989923558676951</v>
      </c>
      <c r="F20" s="171">
        <f t="shared" si="2"/>
        <v>1.0178673839336154</v>
      </c>
      <c r="G20" s="28">
        <v>47.06</v>
      </c>
      <c r="H20" s="172">
        <v>52.94</v>
      </c>
    </row>
    <row r="21" spans="1:8" x14ac:dyDescent="0.25">
      <c r="A21" s="5" t="s">
        <v>123</v>
      </c>
      <c r="B21" s="28">
        <f xml:space="preserve">
19</f>
        <v>19</v>
      </c>
      <c r="C21" s="28">
        <v>267488</v>
      </c>
      <c r="D21" s="171">
        <f t="shared" si="0"/>
        <v>0.71031223830601753</v>
      </c>
      <c r="E21" s="171">
        <f t="shared" si="1"/>
        <v>0.4274009564898702</v>
      </c>
      <c r="F21" s="171">
        <f t="shared" si="2"/>
        <v>1.1094709556408497</v>
      </c>
      <c r="G21" s="28">
        <v>89.47</v>
      </c>
      <c r="H21" s="172">
        <v>10.53</v>
      </c>
    </row>
    <row r="22" spans="1:8" x14ac:dyDescent="0.25">
      <c r="A22" s="166" t="s">
        <v>192</v>
      </c>
      <c r="B22" s="18"/>
      <c r="C22" s="18"/>
      <c r="D22" s="18"/>
      <c r="E22" s="84"/>
      <c r="F22" s="26"/>
      <c r="G22" s="26"/>
      <c r="H22" s="169"/>
    </row>
    <row r="23" spans="1:8" x14ac:dyDescent="0.25">
      <c r="A23" s="174" t="s">
        <v>124</v>
      </c>
      <c r="B23" s="124">
        <v>1297</v>
      </c>
      <c r="C23" s="94">
        <v>267488</v>
      </c>
      <c r="D23" s="175">
        <f t="shared" ref="D23" si="6">(B23/C23)*10000</f>
        <v>48.488156478047614</v>
      </c>
      <c r="E23" s="175">
        <f t="shared" ref="E23" si="7">((SUMSQ((1.96/2)-SQRT(B23+0.02)))/C23)*10000</f>
        <v>45.88589539697233</v>
      </c>
      <c r="F23" s="175">
        <f t="shared" ref="F23" si="8">(((SUMSQ((1.96/2)+SQRT(B23+0.96)))/C23))*10000</f>
        <v>51.199819632947431</v>
      </c>
      <c r="G23" s="124">
        <v>88.9</v>
      </c>
      <c r="H23" s="124">
        <v>9.7100000000000009</v>
      </c>
    </row>
    <row r="24" spans="1:8" x14ac:dyDescent="0.25">
      <c r="A24" s="21" t="s">
        <v>125</v>
      </c>
      <c r="B24" s="29">
        <v>323</v>
      </c>
      <c r="C24" s="23">
        <v>267488</v>
      </c>
      <c r="D24" s="171">
        <f t="shared" ref="D24:D26" si="9">(B24/C24)*10000</f>
        <v>12.075308051202297</v>
      </c>
      <c r="E24" s="171">
        <f t="shared" ref="E24:E26" si="10">((SUMSQ((1.96/2)-SQRT(B24+0.02)))/C24)*10000</f>
        <v>10.795018691033253</v>
      </c>
      <c r="F24" s="171">
        <f t="shared" ref="F24:F26" si="11">(((SUMSQ((1.96/2)+SQRT(B24+0.96)))/C24))*10000</f>
        <v>13.465958179619374</v>
      </c>
      <c r="G24" s="29">
        <v>95.36</v>
      </c>
      <c r="H24" s="29">
        <v>4.33</v>
      </c>
    </row>
    <row r="25" spans="1:8" x14ac:dyDescent="0.25">
      <c r="A25" s="21" t="s">
        <v>126</v>
      </c>
      <c r="B25" s="29">
        <v>154</v>
      </c>
      <c r="C25" s="29">
        <v>267488</v>
      </c>
      <c r="D25" s="171">
        <f t="shared" si="9"/>
        <v>5.7572676157435101</v>
      </c>
      <c r="E25" s="171">
        <f t="shared" si="10"/>
        <v>4.8845503458893385</v>
      </c>
      <c r="F25" s="171">
        <f t="shared" si="11"/>
        <v>6.7412016385454923</v>
      </c>
      <c r="G25" s="29">
        <v>98.05</v>
      </c>
      <c r="H25" s="29">
        <v>1.95</v>
      </c>
    </row>
    <row r="26" spans="1:8" x14ac:dyDescent="0.25">
      <c r="A26" s="176" t="s">
        <v>127</v>
      </c>
      <c r="B26" s="115">
        <v>43</v>
      </c>
      <c r="C26" s="115">
        <v>267488</v>
      </c>
      <c r="D26" s="177">
        <f t="shared" si="9"/>
        <v>1.6075487498504604</v>
      </c>
      <c r="E26" s="177">
        <f t="shared" si="10"/>
        <v>1.16359731531372</v>
      </c>
      <c r="F26" s="177">
        <f t="shared" si="11"/>
        <v>2.1651684640855895</v>
      </c>
      <c r="G26" s="115">
        <v>100</v>
      </c>
      <c r="H26" s="115">
        <v>0</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2AB5-84CC-44F4-B4C4-90BE2536B323}">
  <dimension ref="A1:M16"/>
  <sheetViews>
    <sheetView zoomScaleNormal="100" workbookViewId="0"/>
  </sheetViews>
  <sheetFormatPr baseColWidth="10" defaultColWidth="11.5546875" defaultRowHeight="13.2" x14ac:dyDescent="0.25"/>
  <cols>
    <col min="1" max="1" width="43.77734375" style="5" customWidth="1"/>
    <col min="2" max="2" width="13" style="5" customWidth="1"/>
    <col min="3" max="3" width="21.21875" style="5" customWidth="1"/>
    <col min="4" max="4" width="14.77734375" style="5" customWidth="1"/>
    <col min="5" max="5" width="17.5546875" style="5" customWidth="1"/>
    <col min="6" max="6" width="18.44140625" style="5" bestFit="1" customWidth="1"/>
    <col min="7" max="7" width="8.44140625" style="5" bestFit="1" customWidth="1"/>
    <col min="8" max="8" width="12.77734375" style="21" customWidth="1"/>
    <col min="9" max="9" width="16" style="21" customWidth="1"/>
    <col min="10" max="10" width="15.5546875" style="21" bestFit="1" customWidth="1"/>
    <col min="11" max="13" width="11.5546875" style="21"/>
    <col min="14" max="16384" width="11.5546875" style="5"/>
  </cols>
  <sheetData>
    <row r="1" spans="1:13" s="7" customFormat="1" ht="27.75" customHeight="1" x14ac:dyDescent="0.3">
      <c r="A1" s="9" t="s">
        <v>27</v>
      </c>
      <c r="B1" s="9" t="s">
        <v>140</v>
      </c>
      <c r="C1" s="9"/>
      <c r="D1" s="9"/>
      <c r="E1" s="9"/>
      <c r="F1" s="9"/>
      <c r="H1" s="178"/>
      <c r="I1" s="178"/>
      <c r="J1" s="178"/>
      <c r="K1" s="178"/>
      <c r="L1" s="178"/>
      <c r="M1" s="178"/>
    </row>
    <row r="2" spans="1:13" s="28" customFormat="1" ht="26.4" x14ac:dyDescent="0.25">
      <c r="A2" s="166" t="s">
        <v>100</v>
      </c>
      <c r="B2" s="19" t="s">
        <v>101</v>
      </c>
      <c r="C2" s="19" t="s">
        <v>7</v>
      </c>
      <c r="D2" s="88" t="s">
        <v>36</v>
      </c>
      <c r="E2" s="19" t="s">
        <v>37</v>
      </c>
      <c r="F2" s="19" t="s">
        <v>38</v>
      </c>
      <c r="G2" s="19" t="s">
        <v>102</v>
      </c>
      <c r="H2" s="29"/>
      <c r="I2" s="29"/>
      <c r="J2" s="29"/>
      <c r="K2" s="29"/>
      <c r="L2" s="29"/>
      <c r="M2" s="29"/>
    </row>
    <row r="3" spans="1:13" ht="15.6" customHeight="1" x14ac:dyDescent="0.25">
      <c r="A3" s="170" t="s">
        <v>103</v>
      </c>
      <c r="B3" s="23">
        <v>2108</v>
      </c>
      <c r="C3" s="94">
        <v>267488</v>
      </c>
      <c r="D3" s="95">
        <f>B3/C3*10000</f>
        <v>78.807273597320261</v>
      </c>
      <c r="E3" s="95">
        <f>((SUMSQ((1.96/2)-SQRT(B3+0.02)))/C3)*10000</f>
        <v>75.479668967790545</v>
      </c>
      <c r="F3" s="95">
        <f>(((SUMSQ((1.96/2)+SQRT(B3+0.96)))/C3))*10000</f>
        <v>82.244074217688606</v>
      </c>
      <c r="G3" s="95">
        <v>83</v>
      </c>
      <c r="H3" s="179"/>
    </row>
    <row r="4" spans="1:13" ht="18.75" customHeight="1" x14ac:dyDescent="0.3">
      <c r="A4" s="170" t="s">
        <v>204</v>
      </c>
      <c r="B4" s="23">
        <v>1249</v>
      </c>
      <c r="C4" s="23">
        <v>267488</v>
      </c>
      <c r="D4" s="24">
        <f t="shared" ref="D4:D5" si="0">B4/C4*10000</f>
        <v>46.693683454958723</v>
      </c>
      <c r="E4" s="24">
        <f t="shared" ref="E4:E5" si="1">((SUMSQ((1.96/2)-SQRT(B4+0.02)))/C4)*10000</f>
        <v>44.140713040738227</v>
      </c>
      <c r="F4" s="24">
        <f t="shared" ref="F4:F5" si="2">(((SUMSQ((1.96/2)+SQRT(B4+0.96)))/C4))*10000</f>
        <v>49.356074134315499</v>
      </c>
      <c r="G4" s="24">
        <v>93.9</v>
      </c>
      <c r="H4" s="179"/>
    </row>
    <row r="5" spans="1:13" ht="19.5" customHeight="1" x14ac:dyDescent="0.25">
      <c r="A5" s="162" t="s">
        <v>104</v>
      </c>
      <c r="B5" s="89">
        <v>691</v>
      </c>
      <c r="C5" s="89">
        <v>267488</v>
      </c>
      <c r="D5" s="98">
        <f t="shared" si="0"/>
        <v>25.832934561550424</v>
      </c>
      <c r="E5" s="98">
        <f t="shared" si="1"/>
        <v>23.943405753832817</v>
      </c>
      <c r="F5" s="98">
        <f t="shared" si="2"/>
        <v>27.8322190100074</v>
      </c>
      <c r="G5" s="98">
        <v>64.3</v>
      </c>
      <c r="H5" s="179"/>
    </row>
    <row r="6" spans="1:13" x14ac:dyDescent="0.25">
      <c r="A6" s="157"/>
      <c r="B6" s="94"/>
      <c r="C6" s="94"/>
      <c r="D6" s="157"/>
      <c r="E6" s="157"/>
      <c r="F6" s="157"/>
      <c r="G6" s="94"/>
      <c r="H6" s="170"/>
      <c r="I6" s="23"/>
      <c r="J6" s="170"/>
      <c r="K6" s="23"/>
      <c r="L6" s="170"/>
    </row>
    <row r="7" spans="1:13" x14ac:dyDescent="0.25">
      <c r="A7" s="146"/>
      <c r="B7" s="148"/>
      <c r="C7" s="148"/>
      <c r="D7" s="23"/>
      <c r="E7" s="23"/>
      <c r="F7" s="23"/>
      <c r="G7" s="148"/>
      <c r="H7" s="24"/>
    </row>
    <row r="8" spans="1:13" x14ac:dyDescent="0.25">
      <c r="A8" s="146"/>
      <c r="B8" s="148"/>
      <c r="C8" s="148"/>
      <c r="D8" s="148"/>
      <c r="E8" s="148"/>
      <c r="F8" s="148"/>
      <c r="G8" s="148"/>
      <c r="H8" s="24"/>
    </row>
    <row r="16" spans="1:13" x14ac:dyDescent="0.25">
      <c r="A16" s="7"/>
      <c r="B16" s="7"/>
      <c r="C16" s="7"/>
      <c r="D16" s="7"/>
      <c r="E16" s="7"/>
      <c r="F16" s="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662A-BCEB-4F21-B680-998B5CC8947C}">
  <dimension ref="A1:K17"/>
  <sheetViews>
    <sheetView zoomScaleNormal="100" workbookViewId="0"/>
  </sheetViews>
  <sheetFormatPr baseColWidth="10" defaultColWidth="11.5546875" defaultRowHeight="13.2" x14ac:dyDescent="0.25"/>
  <cols>
    <col min="1" max="1" width="35" style="5" customWidth="1"/>
    <col min="2" max="2" width="13" style="28" customWidth="1"/>
    <col min="3" max="3" width="20.21875" style="28" customWidth="1"/>
    <col min="4" max="4" width="17.5546875" style="28" customWidth="1"/>
    <col min="5" max="5" width="14" style="28" bestFit="1" customWidth="1"/>
    <col min="6" max="6" width="14.77734375" style="28" customWidth="1"/>
    <col min="7" max="7" width="16" style="28" customWidth="1"/>
    <col min="8" max="8" width="15.5546875" style="28" bestFit="1" customWidth="1"/>
    <col min="9" max="10" width="11.5546875" style="28"/>
    <col min="11" max="16384" width="11.5546875" style="5"/>
  </cols>
  <sheetData>
    <row r="1" spans="1:11" s="7" customFormat="1" ht="22.5" customHeight="1" x14ac:dyDescent="0.3">
      <c r="A1" s="9" t="s">
        <v>28</v>
      </c>
      <c r="B1" s="14" t="s">
        <v>141</v>
      </c>
      <c r="C1" s="15"/>
      <c r="D1" s="15"/>
      <c r="E1" s="16"/>
      <c r="F1" s="16"/>
      <c r="G1" s="16"/>
      <c r="H1" s="16"/>
      <c r="I1" s="16"/>
      <c r="J1" s="16"/>
    </row>
    <row r="2" spans="1:11" ht="39.6" x14ac:dyDescent="0.25">
      <c r="A2" s="188" t="s">
        <v>128</v>
      </c>
      <c r="B2" s="88" t="s">
        <v>88</v>
      </c>
      <c r="C2" s="88" t="s">
        <v>53</v>
      </c>
      <c r="D2" s="88" t="s">
        <v>83</v>
      </c>
      <c r="E2" s="88" t="s">
        <v>37</v>
      </c>
      <c r="F2" s="88" t="s">
        <v>38</v>
      </c>
      <c r="G2" s="88" t="s">
        <v>102</v>
      </c>
      <c r="H2" s="88" t="s">
        <v>134</v>
      </c>
      <c r="I2" s="88" t="s">
        <v>74</v>
      </c>
      <c r="J2" s="88" t="s">
        <v>133</v>
      </c>
    </row>
    <row r="3" spans="1:11" ht="15.6" customHeight="1" x14ac:dyDescent="0.25">
      <c r="A3" s="157" t="s">
        <v>129</v>
      </c>
      <c r="B3" s="94">
        <v>107</v>
      </c>
      <c r="C3" s="94">
        <v>267488</v>
      </c>
      <c r="D3" s="125">
        <f>B3/C3*10000</f>
        <v>4.0001794473023091</v>
      </c>
      <c r="E3" s="95">
        <f>((SUMSQ((1.96/2)-SQRT(B3+0.02)))/C3)*10000</f>
        <v>3.2788053160048212</v>
      </c>
      <c r="F3" s="95">
        <f>(((SUMSQ((1.96/2)+SQRT(B3+0.96)))/C3))*10000</f>
        <v>4.8333213125794545</v>
      </c>
      <c r="G3" s="125">
        <v>93.5</v>
      </c>
      <c r="H3" s="95">
        <v>7</v>
      </c>
      <c r="I3" s="95">
        <v>90</v>
      </c>
      <c r="J3" s="125">
        <v>3</v>
      </c>
      <c r="K3" s="160"/>
    </row>
    <row r="4" spans="1:11" ht="18.75" customHeight="1" x14ac:dyDescent="0.25">
      <c r="A4" s="170" t="s">
        <v>130</v>
      </c>
      <c r="B4" s="23">
        <v>260</v>
      </c>
      <c r="C4" s="23">
        <v>267488</v>
      </c>
      <c r="D4" s="30">
        <f t="shared" ref="D4:D7" si="0">B4/C4*10000</f>
        <v>9.7200622083981347</v>
      </c>
      <c r="E4" s="24">
        <f t="shared" ref="E4:E7" si="1">((SUMSQ((1.96/2)-SQRT(B4+0.02)))/C4)*10000</f>
        <v>8.5751560484823806</v>
      </c>
      <c r="F4" s="24">
        <f t="shared" ref="F4:F7" si="2">(((SUMSQ((1.96/2)+SQRT(B4+0.96)))/C4))*10000</f>
        <v>10.975548157446015</v>
      </c>
      <c r="G4" s="30">
        <v>95.8</v>
      </c>
      <c r="H4" s="24">
        <v>7.7</v>
      </c>
      <c r="I4" s="24">
        <v>87.5</v>
      </c>
      <c r="J4" s="30">
        <v>4.8</v>
      </c>
      <c r="K4" s="160"/>
    </row>
    <row r="5" spans="1:11" ht="19.5" customHeight="1" x14ac:dyDescent="0.25">
      <c r="A5" s="180" t="s">
        <v>131</v>
      </c>
      <c r="B5" s="181">
        <v>883</v>
      </c>
      <c r="C5" s="23">
        <v>267488</v>
      </c>
      <c r="D5" s="30">
        <f t="shared" si="0"/>
        <v>33.010826653905973</v>
      </c>
      <c r="E5" s="24">
        <f t="shared" si="1"/>
        <v>30.870084684750427</v>
      </c>
      <c r="F5" s="24">
        <f t="shared" si="2"/>
        <v>35.26117325023543</v>
      </c>
      <c r="G5" s="24">
        <v>92.3</v>
      </c>
      <c r="H5" s="24">
        <v>14.1</v>
      </c>
      <c r="I5" s="29">
        <v>83.8</v>
      </c>
      <c r="J5" s="29">
        <v>2.1</v>
      </c>
      <c r="K5" s="160"/>
    </row>
    <row r="6" spans="1:11" ht="18" customHeight="1" x14ac:dyDescent="0.25">
      <c r="A6" s="180" t="s">
        <v>193</v>
      </c>
      <c r="B6" s="181">
        <v>131</v>
      </c>
      <c r="C6" s="23">
        <v>267488</v>
      </c>
      <c r="D6" s="30">
        <f t="shared" si="0"/>
        <v>4.8974159588467518</v>
      </c>
      <c r="E6" s="24">
        <f t="shared" si="1"/>
        <v>4.0953411834017306</v>
      </c>
      <c r="F6" s="24">
        <f t="shared" si="2"/>
        <v>5.8109400568942995</v>
      </c>
      <c r="G6" s="24">
        <v>87.8</v>
      </c>
      <c r="H6" s="24">
        <v>21.7</v>
      </c>
      <c r="I6" s="29">
        <v>75.7</v>
      </c>
      <c r="J6" s="29">
        <v>2.6</v>
      </c>
    </row>
    <row r="7" spans="1:11" ht="19.5" customHeight="1" x14ac:dyDescent="0.25">
      <c r="A7" s="182" t="s">
        <v>132</v>
      </c>
      <c r="B7" s="183">
        <v>42</v>
      </c>
      <c r="C7" s="89">
        <v>267488</v>
      </c>
      <c r="D7" s="114">
        <f t="shared" si="0"/>
        <v>1.5701638952027754</v>
      </c>
      <c r="E7" s="98">
        <f t="shared" si="1"/>
        <v>1.1318311193555148</v>
      </c>
      <c r="F7" s="98">
        <f t="shared" si="2"/>
        <v>2.1222260502455574</v>
      </c>
      <c r="G7" s="98">
        <v>91.6</v>
      </c>
      <c r="H7" s="98">
        <v>0</v>
      </c>
      <c r="I7" s="115">
        <v>97.2</v>
      </c>
      <c r="J7" s="115">
        <v>2.8</v>
      </c>
    </row>
    <row r="8" spans="1:11" x14ac:dyDescent="0.25">
      <c r="C8" s="23"/>
      <c r="D8" s="30"/>
      <c r="E8" s="24"/>
      <c r="F8" s="24"/>
    </row>
    <row r="9" spans="1:11" x14ac:dyDescent="0.25">
      <c r="A9" s="146"/>
      <c r="B9" s="148"/>
      <c r="C9" s="148"/>
      <c r="D9" s="148"/>
      <c r="E9" s="148"/>
      <c r="F9" s="148"/>
    </row>
    <row r="17" spans="1:4" x14ac:dyDescent="0.25">
      <c r="A17" s="7"/>
      <c r="B17" s="16"/>
      <c r="C17" s="16"/>
      <c r="D17" s="1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CEFB-EFE7-408B-B6B3-E80595C783E5}">
  <dimension ref="A1:M10"/>
  <sheetViews>
    <sheetView zoomScaleNormal="100" workbookViewId="0"/>
  </sheetViews>
  <sheetFormatPr baseColWidth="10" defaultColWidth="11.5546875" defaultRowHeight="13.2" x14ac:dyDescent="0.25"/>
  <cols>
    <col min="1" max="1" width="40.5546875" style="5" customWidth="1"/>
    <col min="2" max="2" width="13" style="28" customWidth="1"/>
    <col min="3" max="3" width="19.44140625" style="28" customWidth="1"/>
    <col min="4" max="4" width="16.44140625" style="28" customWidth="1"/>
    <col min="5" max="5" width="14.44140625" style="28" customWidth="1"/>
    <col min="6" max="6" width="18.5546875" style="28" customWidth="1"/>
    <col min="7" max="7" width="15.44140625" style="28" customWidth="1"/>
    <col min="8" max="8" width="19.21875" style="28" customWidth="1"/>
    <col min="9" max="9" width="15.44140625" style="28" customWidth="1"/>
    <col min="10" max="10" width="14.77734375" style="28" customWidth="1"/>
    <col min="11" max="11" width="16.77734375" style="28" customWidth="1"/>
    <col min="12" max="12" width="15.44140625" style="28" bestFit="1" customWidth="1"/>
    <col min="13" max="13" width="19.21875" style="28" bestFit="1" customWidth="1"/>
    <col min="14" max="16384" width="11.5546875" style="5"/>
  </cols>
  <sheetData>
    <row r="1" spans="1:13" s="7" customFormat="1" ht="27" customHeight="1" x14ac:dyDescent="0.3">
      <c r="A1" s="9" t="s">
        <v>29</v>
      </c>
      <c r="B1" s="14" t="s">
        <v>142</v>
      </c>
      <c r="C1" s="15"/>
      <c r="D1" s="15"/>
      <c r="E1" s="16"/>
      <c r="F1" s="16"/>
      <c r="G1" s="16"/>
      <c r="H1" s="16"/>
      <c r="I1" s="16"/>
      <c r="J1" s="16"/>
      <c r="K1" s="16"/>
      <c r="L1" s="16"/>
      <c r="M1" s="16"/>
    </row>
    <row r="2" spans="1:13" ht="39.6" x14ac:dyDescent="0.25">
      <c r="A2" s="166" t="s">
        <v>89</v>
      </c>
      <c r="B2" s="19" t="s">
        <v>88</v>
      </c>
      <c r="C2" s="19" t="s">
        <v>53</v>
      </c>
      <c r="D2" s="19" t="s">
        <v>83</v>
      </c>
      <c r="E2" s="19" t="s">
        <v>37</v>
      </c>
      <c r="F2" s="19" t="s">
        <v>38</v>
      </c>
      <c r="G2" s="19" t="s">
        <v>84</v>
      </c>
      <c r="H2" s="19" t="s">
        <v>52</v>
      </c>
      <c r="I2" s="19" t="s">
        <v>85</v>
      </c>
      <c r="J2" s="19" t="s">
        <v>37</v>
      </c>
      <c r="K2" s="19" t="s">
        <v>38</v>
      </c>
      <c r="L2" s="19" t="s">
        <v>99</v>
      </c>
      <c r="M2" s="19" t="s">
        <v>86</v>
      </c>
    </row>
    <row r="3" spans="1:13" ht="19.5" customHeight="1" x14ac:dyDescent="0.25">
      <c r="A3" s="157" t="s">
        <v>90</v>
      </c>
      <c r="B3" s="186">
        <v>366</v>
      </c>
      <c r="C3" s="94">
        <v>267488</v>
      </c>
      <c r="D3" s="125">
        <f>B3/C3*10000</f>
        <v>13.682856801052758</v>
      </c>
      <c r="E3" s="95">
        <f>((SUMSQ((1.96/2)-SQRT(B3+0.02)))/C3)*10000</f>
        <v>12.317650422634058</v>
      </c>
      <c r="F3" s="95">
        <f>(((SUMSQ((1.96/2)+SQRT(B3+0.96)))/C3))*10000</f>
        <v>15.15830811400164</v>
      </c>
      <c r="G3" s="186">
        <v>34</v>
      </c>
      <c r="H3" s="94">
        <v>265146</v>
      </c>
      <c r="I3" s="125">
        <f>G3/H3*10000</f>
        <v>1.2823123863833512</v>
      </c>
      <c r="J3" s="95">
        <f>((SUMSQ((1.96/2)-SQRT(G3+0.02)))/H3)*10000</f>
        <v>0.88812855589028461</v>
      </c>
      <c r="K3" s="95">
        <f>(((SUMSQ((1.96/2)+SQRT(G3+0.96)))/H3))*10000</f>
        <v>1.7918161492645595</v>
      </c>
      <c r="L3" s="124">
        <v>352</v>
      </c>
      <c r="M3" s="124">
        <v>321</v>
      </c>
    </row>
    <row r="4" spans="1:13" x14ac:dyDescent="0.25">
      <c r="A4" s="180" t="s">
        <v>93</v>
      </c>
      <c r="B4" s="181">
        <v>334</v>
      </c>
      <c r="C4" s="23">
        <v>267489</v>
      </c>
      <c r="D4" s="30">
        <f t="shared" ref="D4:D10" si="0">B4/C4*10000</f>
        <v>12.486494771747623</v>
      </c>
      <c r="E4" s="24">
        <f t="shared" ref="E4:E10" si="1">((SUMSQ((1.96/2)-SQRT(B4+0.02)))/C4)*10000</f>
        <v>11.183974685391769</v>
      </c>
      <c r="F4" s="24">
        <f t="shared" ref="F4:F10" si="2">(((SUMSQ((1.96/2)+SQRT(B4+0.96)))/C4))*10000</f>
        <v>13.899343466012127</v>
      </c>
      <c r="G4" s="29">
        <v>34</v>
      </c>
      <c r="H4" s="23">
        <v>265146</v>
      </c>
      <c r="I4" s="30">
        <f t="shared" ref="I4:I5" si="3">G4/H4*10000</f>
        <v>1.2823123863833512</v>
      </c>
      <c r="J4" s="24">
        <f t="shared" ref="J4:J5" si="4">((SUMSQ((1.96/2)-SQRT(G4+0.02)))/H4)*10000</f>
        <v>0.88812855589028461</v>
      </c>
      <c r="K4" s="24">
        <f t="shared" ref="K4:K5" si="5">(((SUMSQ((1.96/2)+SQRT(G4+0.96)))/H4))*10000</f>
        <v>1.7918161492645595</v>
      </c>
      <c r="L4" s="29">
        <v>323</v>
      </c>
      <c r="M4" s="29">
        <v>292</v>
      </c>
    </row>
    <row r="5" spans="1:13" x14ac:dyDescent="0.25">
      <c r="A5" s="21" t="s">
        <v>95</v>
      </c>
      <c r="B5" s="181">
        <v>166</v>
      </c>
      <c r="C5" s="23">
        <v>267490</v>
      </c>
      <c r="D5" s="30">
        <f t="shared" si="0"/>
        <v>6.205839470634416</v>
      </c>
      <c r="E5" s="24">
        <f t="shared" si="1"/>
        <v>5.2983679870801348</v>
      </c>
      <c r="F5" s="24">
        <f t="shared" si="2"/>
        <v>7.2244251552796053</v>
      </c>
      <c r="G5" s="29">
        <v>27</v>
      </c>
      <c r="H5" s="23">
        <v>265146</v>
      </c>
      <c r="I5" s="30">
        <f t="shared" si="3"/>
        <v>1.0183068950691316</v>
      </c>
      <c r="J5" s="24">
        <f t="shared" si="4"/>
        <v>0.6710329376268267</v>
      </c>
      <c r="K5" s="24">
        <f t="shared" si="5"/>
        <v>1.4816114287245292</v>
      </c>
      <c r="L5" s="29">
        <v>157</v>
      </c>
      <c r="M5" s="29">
        <v>133</v>
      </c>
    </row>
    <row r="6" spans="1:13" x14ac:dyDescent="0.25">
      <c r="A6" s="21" t="s">
        <v>94</v>
      </c>
      <c r="B6" s="181">
        <v>152</v>
      </c>
      <c r="C6" s="23">
        <v>267491</v>
      </c>
      <c r="D6" s="30">
        <f t="shared" si="0"/>
        <v>5.6824341753554322</v>
      </c>
      <c r="E6" s="24">
        <f t="shared" si="1"/>
        <v>4.8156501486302759</v>
      </c>
      <c r="F6" s="24">
        <f t="shared" si="2"/>
        <v>6.6604518185398689</v>
      </c>
      <c r="G6" s="29">
        <v>27</v>
      </c>
      <c r="H6" s="23">
        <v>265147</v>
      </c>
      <c r="I6" s="30">
        <f t="shared" ref="I6:I10" si="6">G6/H6*10000</f>
        <v>1.0183030545320144</v>
      </c>
      <c r="J6" s="24">
        <f t="shared" ref="J6:J10" si="7">((SUMSQ((1.96/2)-SQRT(G6+0.02)))/H6)*10000</f>
        <v>0.67103040683093751</v>
      </c>
      <c r="K6" s="24">
        <f t="shared" ref="K6:K10" si="8">(((SUMSQ((1.96/2)+SQRT(G6+0.96)))/H6))*10000</f>
        <v>1.4816058408377013</v>
      </c>
      <c r="L6" s="29">
        <v>145</v>
      </c>
      <c r="M6" s="29">
        <v>121</v>
      </c>
    </row>
    <row r="7" spans="1:13" x14ac:dyDescent="0.25">
      <c r="A7" s="21" t="s">
        <v>96</v>
      </c>
      <c r="B7" s="145">
        <v>155</v>
      </c>
      <c r="C7" s="23">
        <v>267492</v>
      </c>
      <c r="D7" s="30">
        <f t="shared" si="0"/>
        <v>5.7945658187908418</v>
      </c>
      <c r="E7" s="24">
        <f t="shared" si="1"/>
        <v>4.9189143050572852</v>
      </c>
      <c r="F7" s="24">
        <f t="shared" si="2"/>
        <v>6.7814234982988157</v>
      </c>
      <c r="G7" s="187" t="s">
        <v>87</v>
      </c>
      <c r="H7" s="23">
        <v>265148</v>
      </c>
      <c r="I7" s="30">
        <v>0.11314435711376288</v>
      </c>
      <c r="J7" s="24">
        <v>2.1658965913051491E-2</v>
      </c>
      <c r="K7" s="24">
        <v>0.33267272442024654</v>
      </c>
      <c r="L7" s="29">
        <v>154</v>
      </c>
      <c r="M7" s="29">
        <v>151</v>
      </c>
    </row>
    <row r="8" spans="1:13" x14ac:dyDescent="0.25">
      <c r="A8" s="21" t="s">
        <v>91</v>
      </c>
      <c r="B8" s="145">
        <v>145</v>
      </c>
      <c r="C8" s="23">
        <v>267493</v>
      </c>
      <c r="D8" s="30">
        <f t="shared" si="0"/>
        <v>5.4207025978249899</v>
      </c>
      <c r="E8" s="24">
        <f t="shared" si="1"/>
        <v>4.5749700736200714</v>
      </c>
      <c r="F8" s="24">
        <f t="shared" si="2"/>
        <v>6.3777342087802342</v>
      </c>
      <c r="G8" s="187" t="s">
        <v>87</v>
      </c>
      <c r="H8" s="23">
        <v>265149</v>
      </c>
      <c r="I8" s="30">
        <v>0.11314393039385402</v>
      </c>
      <c r="J8" s="24">
        <v>2.165888422703377E-2</v>
      </c>
      <c r="K8" s="24">
        <v>0.3326714697569273</v>
      </c>
      <c r="L8" s="29">
        <v>144</v>
      </c>
      <c r="M8" s="29">
        <v>141</v>
      </c>
    </row>
    <row r="9" spans="1:13" x14ac:dyDescent="0.25">
      <c r="A9" s="21" t="s">
        <v>97</v>
      </c>
      <c r="B9" s="145">
        <v>45</v>
      </c>
      <c r="C9" s="23">
        <v>267494</v>
      </c>
      <c r="D9" s="30">
        <f t="shared" si="0"/>
        <v>1.6822807240536237</v>
      </c>
      <c r="E9" s="24">
        <f t="shared" si="1"/>
        <v>1.2272947737662327</v>
      </c>
      <c r="F9" s="24">
        <f t="shared" si="2"/>
        <v>2.2508163093465936</v>
      </c>
      <c r="G9" s="28">
        <v>5</v>
      </c>
      <c r="H9" s="23">
        <v>265150</v>
      </c>
      <c r="I9" s="30">
        <f t="shared" si="6"/>
        <v>0.18857250612860646</v>
      </c>
      <c r="J9" s="24">
        <f t="shared" si="7"/>
        <v>5.9926461456836368E-2</v>
      </c>
      <c r="K9" s="24">
        <f t="shared" si="8"/>
        <v>0.44146218372119977</v>
      </c>
      <c r="L9" s="29">
        <v>40</v>
      </c>
      <c r="M9" s="29" t="s">
        <v>98</v>
      </c>
    </row>
    <row r="10" spans="1:13" x14ac:dyDescent="0.25">
      <c r="A10" s="176" t="s">
        <v>92</v>
      </c>
      <c r="B10" s="185">
        <v>37</v>
      </c>
      <c r="C10" s="89">
        <v>267495</v>
      </c>
      <c r="D10" s="114">
        <f t="shared" si="0"/>
        <v>1.3832034243630722</v>
      </c>
      <c r="E10" s="98">
        <f t="shared" si="1"/>
        <v>0.97403553919818353</v>
      </c>
      <c r="F10" s="98">
        <f t="shared" si="2"/>
        <v>1.9064390247214904</v>
      </c>
      <c r="G10" s="115">
        <v>5</v>
      </c>
      <c r="H10" s="89">
        <v>265151</v>
      </c>
      <c r="I10" s="114">
        <f t="shared" si="6"/>
        <v>0.18857179493948734</v>
      </c>
      <c r="J10" s="98">
        <f t="shared" si="7"/>
        <v>5.9926235448028338E-2</v>
      </c>
      <c r="K10" s="98">
        <f t="shared" si="8"/>
        <v>0.44146051877487208</v>
      </c>
      <c r="L10" s="115">
        <v>33</v>
      </c>
      <c r="M10" s="115">
        <v>29</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EF31-1A7C-4564-BF42-6828F92C10C5}">
  <dimension ref="A1:I17"/>
  <sheetViews>
    <sheetView zoomScaleNormal="100" workbookViewId="0"/>
  </sheetViews>
  <sheetFormatPr baseColWidth="10" defaultColWidth="11.5546875" defaultRowHeight="13.2" x14ac:dyDescent="0.25"/>
  <cols>
    <col min="1" max="1" width="22" style="5" bestFit="1" customWidth="1"/>
    <col min="2" max="2" width="13" style="28" customWidth="1"/>
    <col min="3" max="3" width="17.5546875" style="28" customWidth="1"/>
    <col min="4" max="4" width="15.77734375" style="28" customWidth="1"/>
    <col min="5" max="5" width="12.77734375" style="28" customWidth="1"/>
    <col min="6" max="6" width="16" style="28" customWidth="1"/>
    <col min="7" max="7" width="20.21875" style="28" customWidth="1"/>
    <col min="8" max="8" width="20" style="28" customWidth="1"/>
    <col min="9" max="16384" width="11.5546875" style="5"/>
  </cols>
  <sheetData>
    <row r="1" spans="1:9" s="7" customFormat="1" ht="27" customHeight="1" x14ac:dyDescent="0.3">
      <c r="A1" s="9" t="s">
        <v>30</v>
      </c>
      <c r="B1" s="14" t="s">
        <v>185</v>
      </c>
      <c r="C1" s="15"/>
      <c r="D1" s="16"/>
      <c r="E1" s="16"/>
      <c r="F1" s="16"/>
      <c r="G1" s="16"/>
      <c r="H1" s="16"/>
    </row>
    <row r="2" spans="1:9" ht="39.6" x14ac:dyDescent="0.25">
      <c r="A2" s="166" t="s">
        <v>77</v>
      </c>
      <c r="B2" s="19" t="s">
        <v>32</v>
      </c>
      <c r="C2" s="19" t="s">
        <v>53</v>
      </c>
      <c r="D2" s="88" t="s">
        <v>36</v>
      </c>
      <c r="E2" s="19" t="s">
        <v>37</v>
      </c>
      <c r="F2" s="19" t="s">
        <v>38</v>
      </c>
      <c r="G2" s="19" t="s">
        <v>81</v>
      </c>
      <c r="H2" s="19" t="s">
        <v>82</v>
      </c>
    </row>
    <row r="3" spans="1:9" ht="15.6" customHeight="1" x14ac:dyDescent="0.25">
      <c r="A3" s="157" t="s">
        <v>78</v>
      </c>
      <c r="B3" s="94">
        <v>593</v>
      </c>
      <c r="C3" s="94">
        <v>267488</v>
      </c>
      <c r="D3" s="125">
        <f>B3/C3*10000</f>
        <v>22.169218806077286</v>
      </c>
      <c r="E3" s="95">
        <f>((SUMSQ((1.96/2)-SQRT(B3+0.02)))/C3)*10000</f>
        <v>20.421494651597918</v>
      </c>
      <c r="F3" s="95">
        <f>(((SUMSQ((1.96/2)+SQRT(B3+0.96)))/C3))*10000</f>
        <v>24.026802600367088</v>
      </c>
      <c r="G3" s="184">
        <v>57</v>
      </c>
      <c r="H3" s="184">
        <v>535</v>
      </c>
      <c r="I3" s="160"/>
    </row>
    <row r="4" spans="1:9" ht="18.75" customHeight="1" x14ac:dyDescent="0.25">
      <c r="A4" s="170" t="s">
        <v>79</v>
      </c>
      <c r="B4" s="23">
        <v>511</v>
      </c>
      <c r="C4" s="23">
        <v>267488</v>
      </c>
      <c r="D4" s="30">
        <f>B4/C4*10000</f>
        <v>19.103660724967103</v>
      </c>
      <c r="E4" s="24">
        <v>15.804813599664776</v>
      </c>
      <c r="F4" s="24">
        <v>18.998375443534478</v>
      </c>
      <c r="G4" s="145">
        <v>35</v>
      </c>
      <c r="H4" s="145">
        <v>475</v>
      </c>
      <c r="I4" s="160"/>
    </row>
    <row r="5" spans="1:9" ht="19.5" customHeight="1" x14ac:dyDescent="0.25">
      <c r="A5" s="162" t="s">
        <v>80</v>
      </c>
      <c r="B5" s="89">
        <v>82</v>
      </c>
      <c r="C5" s="89">
        <v>267488</v>
      </c>
      <c r="D5" s="114">
        <f>B5/C5*10000</f>
        <v>3.0655580811101806</v>
      </c>
      <c r="E5" s="98">
        <v>24.483384964843072</v>
      </c>
      <c r="F5" s="98">
        <v>28.413771460724348</v>
      </c>
      <c r="G5" s="185">
        <v>22</v>
      </c>
      <c r="H5" s="185">
        <v>60</v>
      </c>
      <c r="I5" s="160"/>
    </row>
    <row r="6" spans="1:9" x14ac:dyDescent="0.25">
      <c r="A6" s="165"/>
      <c r="B6" s="148"/>
      <c r="C6" s="23"/>
      <c r="D6" s="148"/>
      <c r="E6" s="148"/>
    </row>
    <row r="7" spans="1:9" x14ac:dyDescent="0.25">
      <c r="A7" s="146"/>
      <c r="B7" s="148"/>
      <c r="C7" s="23"/>
      <c r="D7" s="148"/>
      <c r="E7" s="148"/>
    </row>
    <row r="8" spans="1:9" x14ac:dyDescent="0.25">
      <c r="A8" s="146"/>
      <c r="B8" s="148"/>
      <c r="C8" s="23"/>
      <c r="D8" s="148"/>
      <c r="E8" s="148"/>
    </row>
    <row r="9" spans="1:9" x14ac:dyDescent="0.25">
      <c r="A9" s="146"/>
      <c r="B9" s="148"/>
      <c r="C9" s="148"/>
      <c r="D9" s="148"/>
      <c r="E9" s="148"/>
    </row>
    <row r="17" spans="1:3" x14ac:dyDescent="0.25">
      <c r="A17" s="7"/>
      <c r="B17" s="16"/>
      <c r="C17" s="1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zoomScaleNormal="100" workbookViewId="0"/>
  </sheetViews>
  <sheetFormatPr baseColWidth="10" defaultColWidth="11.5546875" defaultRowHeight="15" x14ac:dyDescent="0.25"/>
  <cols>
    <col min="1" max="1" width="25.77734375" style="3" bestFit="1" customWidth="1"/>
    <col min="2" max="2" width="15" style="2" customWidth="1"/>
    <col min="3" max="3" width="17.21875" style="2" customWidth="1"/>
    <col min="4" max="4" width="18.21875" style="2" customWidth="1"/>
    <col min="5" max="5" width="15.44140625" style="2" customWidth="1"/>
    <col min="6" max="6" width="15.5546875" style="2" customWidth="1"/>
    <col min="7" max="16384" width="11.5546875" style="3"/>
  </cols>
  <sheetData>
    <row r="1" spans="1:11" s="7" customFormat="1" ht="31.95" customHeight="1" x14ac:dyDescent="0.3">
      <c r="A1" s="9" t="s">
        <v>18</v>
      </c>
      <c r="B1" s="14" t="s">
        <v>25</v>
      </c>
      <c r="C1" s="15"/>
      <c r="D1" s="16"/>
      <c r="E1" s="15"/>
      <c r="F1" s="15"/>
      <c r="G1" s="9"/>
      <c r="H1" s="9"/>
      <c r="I1" s="9"/>
      <c r="J1" s="9"/>
      <c r="K1" s="9"/>
    </row>
    <row r="2" spans="1:11" ht="26.4" x14ac:dyDescent="0.25">
      <c r="A2" s="17" t="s">
        <v>0</v>
      </c>
      <c r="B2" s="18" t="s">
        <v>19</v>
      </c>
      <c r="C2" s="18" t="s">
        <v>7</v>
      </c>
      <c r="D2" s="19" t="s">
        <v>186</v>
      </c>
      <c r="E2" s="19" t="s">
        <v>37</v>
      </c>
      <c r="F2" s="20" t="s">
        <v>38</v>
      </c>
      <c r="G2" s="21"/>
      <c r="H2" s="21"/>
      <c r="I2" s="4"/>
    </row>
    <row r="3" spans="1:11" x14ac:dyDescent="0.25">
      <c r="A3" s="22" t="s">
        <v>1</v>
      </c>
      <c r="B3" s="23">
        <v>2336</v>
      </c>
      <c r="C3" s="23">
        <v>71100</v>
      </c>
      <c r="D3" s="24">
        <f>B3/C3*10000</f>
        <v>328.55133614627289</v>
      </c>
      <c r="E3" s="24">
        <f>((SUMSQ((1.96/2)-SQRT(B3+0.02)))/C3)*10000</f>
        <v>315.36552940098466</v>
      </c>
      <c r="F3" s="25">
        <f>(((SUMSQ((1.96/2)+SQRT(B3+0.96)))/C3))*10000</f>
        <v>342.14781205682607</v>
      </c>
      <c r="G3" s="21"/>
      <c r="H3" s="21"/>
      <c r="I3" s="4"/>
    </row>
    <row r="4" spans="1:11" x14ac:dyDescent="0.25">
      <c r="A4" s="22" t="s">
        <v>2</v>
      </c>
      <c r="B4" s="23">
        <v>1274</v>
      </c>
      <c r="C4" s="23">
        <v>36297</v>
      </c>
      <c r="D4" s="24">
        <f>B4/C4*10000</f>
        <v>350.99319502989232</v>
      </c>
      <c r="E4" s="24">
        <f>((SUMSQ((1.96/2)-SQRT(B4+0.02)))/C4)*10000</f>
        <v>331.98922862784349</v>
      </c>
      <c r="F4" s="25">
        <f>(((SUMSQ((1.96/2)+SQRT(B4+0.96)))/C4))*10000</f>
        <v>370.80345504353625</v>
      </c>
      <c r="G4" s="21"/>
      <c r="H4" s="21"/>
      <c r="I4" s="4"/>
    </row>
    <row r="5" spans="1:11" x14ac:dyDescent="0.25">
      <c r="A5" s="22" t="s">
        <v>3</v>
      </c>
      <c r="B5" s="16">
        <v>1402</v>
      </c>
      <c r="C5" s="16">
        <v>40081</v>
      </c>
      <c r="D5" s="24">
        <f>B5/C5*10000</f>
        <v>349.79167186447444</v>
      </c>
      <c r="E5" s="24">
        <f>((SUMSQ((1.96/2)-SQRT(B5+0.02)))/C5)*10000</f>
        <v>331.7260116400164</v>
      </c>
      <c r="F5" s="25">
        <f>(((SUMSQ((1.96/2)+SQRT(B5+0.96)))/C5))*10000</f>
        <v>368.58720365920368</v>
      </c>
      <c r="G5" s="21"/>
      <c r="H5" s="21"/>
      <c r="I5" s="4"/>
    </row>
    <row r="6" spans="1:11" x14ac:dyDescent="0.25">
      <c r="A6" s="22" t="s">
        <v>4</v>
      </c>
      <c r="B6" s="16">
        <v>633</v>
      </c>
      <c r="C6" s="16">
        <v>24791</v>
      </c>
      <c r="D6" s="24">
        <f>B6/C6*10000</f>
        <v>255.33459723286674</v>
      </c>
      <c r="E6" s="24">
        <f>((SUMSQ((1.96/2)-SQRT(B6+0.02)))/C6)*10000</f>
        <v>235.83841641099141</v>
      </c>
      <c r="F6" s="25">
        <f>(((SUMSQ((1.96/2)+SQRT(B6+0.96)))/C6))*10000</f>
        <v>276.01564363182462</v>
      </c>
      <c r="G6" s="21"/>
      <c r="H6" s="21"/>
      <c r="I6" s="4"/>
    </row>
    <row r="7" spans="1:11" x14ac:dyDescent="0.25">
      <c r="A7" s="22" t="s">
        <v>5</v>
      </c>
      <c r="B7" s="16">
        <v>3784</v>
      </c>
      <c r="C7" s="16">
        <v>95219</v>
      </c>
      <c r="D7" s="24">
        <f>B7/C7*10000</f>
        <v>397.39967863556643</v>
      </c>
      <c r="E7" s="24">
        <f>((SUMSQ((1.96/2)-SQRT(B7+0.02)))/C7)*10000</f>
        <v>384.8404413426918</v>
      </c>
      <c r="F7" s="25">
        <f>(((SUMSQ((1.96/2)+SQRT(B7+0.96)))/C7))*10000</f>
        <v>410.26513364005797</v>
      </c>
      <c r="G7" s="21"/>
      <c r="H7" s="21"/>
      <c r="I7" s="4"/>
    </row>
    <row r="8" spans="1:11" ht="19.5" customHeight="1" x14ac:dyDescent="0.25">
      <c r="A8" s="17" t="s">
        <v>6</v>
      </c>
      <c r="B8" s="18">
        <v>9429</v>
      </c>
      <c r="C8" s="18">
        <v>267488</v>
      </c>
      <c r="D8" s="26">
        <f t="shared" ref="D8" si="0">B8/C8*10000</f>
        <v>352.50179447302304</v>
      </c>
      <c r="E8" s="26">
        <f t="shared" ref="E8" si="1">((SUMSQ((1.96/2)-SQRT(B8+0.02)))/C8)*10000</f>
        <v>345.42328042977357</v>
      </c>
      <c r="F8" s="27">
        <f t="shared" ref="F8" si="2">(((SUMSQ((1.96/2)+SQRT(B8+0.96)))/C8))*10000</f>
        <v>359.68910915717476</v>
      </c>
      <c r="G8" s="21"/>
      <c r="H8" s="21"/>
      <c r="I8" s="4"/>
    </row>
    <row r="9" spans="1:11" x14ac:dyDescent="0.25">
      <c r="A9" s="5"/>
      <c r="B9" s="28"/>
      <c r="C9" s="29"/>
      <c r="D9" s="30"/>
      <c r="E9" s="29"/>
      <c r="F9" s="29"/>
      <c r="G9" s="21"/>
      <c r="H9" s="21"/>
      <c r="I9" s="4"/>
    </row>
    <row r="10" spans="1:11" x14ac:dyDescent="0.25">
      <c r="C10" s="1"/>
      <c r="D10" s="1"/>
      <c r="E10" s="1"/>
      <c r="F10" s="1"/>
      <c r="G10" s="4"/>
      <c r="H10" s="4"/>
      <c r="I10" s="4"/>
    </row>
    <row r="11" spans="1:11" x14ac:dyDescent="0.25">
      <c r="C11" s="1"/>
      <c r="D11" s="1"/>
      <c r="E11" s="1"/>
      <c r="F11" s="1"/>
      <c r="G11" s="4"/>
      <c r="H11" s="4"/>
      <c r="I11" s="4"/>
    </row>
    <row r="12" spans="1:11" x14ac:dyDescent="0.25">
      <c r="C12" s="1"/>
      <c r="D12" s="1"/>
      <c r="E12" s="1"/>
      <c r="F12" s="1"/>
      <c r="G12" s="4"/>
      <c r="H12" s="4"/>
      <c r="I12" s="4"/>
    </row>
    <row r="13" spans="1:11" x14ac:dyDescent="0.25">
      <c r="C13" s="1"/>
      <c r="D13" s="1"/>
      <c r="E13" s="1"/>
      <c r="F13" s="1"/>
      <c r="G13" s="4"/>
      <c r="H13" s="4"/>
      <c r="I13" s="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E9E3-3E7D-4A92-86E0-895FDCACBAE8}">
  <dimension ref="A1:V46"/>
  <sheetViews>
    <sheetView zoomScaleNormal="100" workbookViewId="0"/>
  </sheetViews>
  <sheetFormatPr baseColWidth="10" defaultColWidth="11.5546875" defaultRowHeight="13.2" x14ac:dyDescent="0.25"/>
  <cols>
    <col min="1" max="1" width="18.21875" style="5" customWidth="1"/>
    <col min="2" max="2" width="15.21875" style="5" customWidth="1"/>
    <col min="3" max="3" width="16.77734375" style="5" customWidth="1"/>
    <col min="4" max="4" width="14.21875" style="5" customWidth="1"/>
    <col min="5" max="5" width="16.77734375" style="5" customWidth="1"/>
    <col min="6" max="6" width="16.21875" style="5" bestFit="1" customWidth="1"/>
    <col min="7" max="7" width="17.44140625" style="5" customWidth="1"/>
    <col min="8" max="8" width="16.21875" style="5" bestFit="1" customWidth="1"/>
    <col min="9" max="9" width="16.77734375" style="5" customWidth="1"/>
    <col min="10" max="10" width="19.77734375" style="5" customWidth="1"/>
    <col min="11" max="11" width="11.5546875" style="5"/>
    <col min="12" max="12" width="16.21875" style="5" bestFit="1" customWidth="1"/>
    <col min="13" max="14" width="11.5546875" style="5"/>
    <col min="15" max="15" width="16.21875" style="5" bestFit="1" customWidth="1"/>
    <col min="16" max="16" width="12.77734375" style="5" bestFit="1" customWidth="1"/>
    <col min="17" max="16384" width="11.5546875" style="5"/>
  </cols>
  <sheetData>
    <row r="1" spans="1:22" ht="25.5" customHeight="1" x14ac:dyDescent="0.25">
      <c r="A1" s="14" t="s">
        <v>155</v>
      </c>
      <c r="B1" s="8"/>
      <c r="C1" s="21"/>
      <c r="D1" s="55"/>
    </row>
    <row r="2" spans="1:22" ht="14.7" customHeight="1" x14ac:dyDescent="0.25">
      <c r="A2" s="56"/>
      <c r="B2" s="57"/>
      <c r="C2" s="58"/>
      <c r="D2" s="58"/>
      <c r="E2" s="21"/>
    </row>
    <row r="3" spans="1:22" ht="28.2" customHeight="1" x14ac:dyDescent="0.25">
      <c r="B3" s="31"/>
      <c r="I3" s="21"/>
      <c r="J3" s="21"/>
      <c r="K3" s="109"/>
      <c r="L3" s="109"/>
      <c r="M3" s="109"/>
      <c r="N3" s="109"/>
      <c r="O3" s="109"/>
      <c r="P3" s="109"/>
      <c r="Q3" s="109"/>
      <c r="R3" s="109"/>
      <c r="S3" s="109"/>
      <c r="T3" s="109"/>
    </row>
    <row r="4" spans="1:22" ht="67.95" customHeight="1" x14ac:dyDescent="0.25">
      <c r="A4" s="109" t="s">
        <v>202</v>
      </c>
      <c r="B4" s="109"/>
      <c r="C4" s="109"/>
      <c r="D4" s="109"/>
      <c r="E4" s="109"/>
      <c r="F4" s="109"/>
      <c r="G4" s="109"/>
      <c r="H4" s="109"/>
      <c r="I4" s="109"/>
      <c r="J4" s="109"/>
    </row>
    <row r="5" spans="1:22" ht="19.95" customHeight="1" x14ac:dyDescent="0.25">
      <c r="A5" s="59" t="s">
        <v>144</v>
      </c>
      <c r="B5" s="60"/>
      <c r="C5" s="60"/>
      <c r="D5" s="60"/>
      <c r="E5" s="60"/>
      <c r="F5" s="60"/>
    </row>
    <row r="6" spans="1:22" ht="52.8" x14ac:dyDescent="0.25">
      <c r="A6" s="19" t="s">
        <v>167</v>
      </c>
      <c r="B6" s="32" t="s">
        <v>157</v>
      </c>
      <c r="C6" s="19" t="s">
        <v>156</v>
      </c>
      <c r="D6" s="19" t="s">
        <v>158</v>
      </c>
      <c r="E6" s="20" t="s">
        <v>159</v>
      </c>
      <c r="F6" s="19" t="s">
        <v>161</v>
      </c>
      <c r="G6" s="19" t="s">
        <v>162</v>
      </c>
      <c r="H6" s="32" t="s">
        <v>163</v>
      </c>
      <c r="I6" s="20" t="s">
        <v>164</v>
      </c>
      <c r="J6" s="33" t="s">
        <v>165</v>
      </c>
      <c r="K6" s="21"/>
      <c r="M6" s="109"/>
      <c r="N6" s="109"/>
      <c r="O6" s="109"/>
      <c r="P6" s="109"/>
      <c r="Q6" s="109"/>
      <c r="R6" s="109"/>
      <c r="S6" s="109"/>
      <c r="T6" s="109"/>
      <c r="U6" s="109"/>
      <c r="V6" s="109"/>
    </row>
    <row r="7" spans="1:22" x14ac:dyDescent="0.25">
      <c r="A7" s="34" t="s">
        <v>12</v>
      </c>
      <c r="B7" s="35">
        <v>9</v>
      </c>
      <c r="C7" s="34">
        <v>4</v>
      </c>
      <c r="D7" s="34">
        <v>42</v>
      </c>
      <c r="E7" s="36">
        <v>40</v>
      </c>
      <c r="F7" s="35">
        <v>95</v>
      </c>
      <c r="G7" s="37">
        <v>9.0996168582375497E-2</v>
      </c>
      <c r="H7" s="38">
        <v>133</v>
      </c>
      <c r="I7" s="39">
        <v>12.10249042145594</v>
      </c>
      <c r="J7" s="40">
        <v>145.10249042145594</v>
      </c>
      <c r="K7" s="21"/>
    </row>
    <row r="8" spans="1:22" x14ac:dyDescent="0.25">
      <c r="A8" s="41" t="s">
        <v>13</v>
      </c>
      <c r="B8" s="42">
        <v>29</v>
      </c>
      <c r="C8" s="41">
        <v>6</v>
      </c>
      <c r="D8" s="41">
        <v>35</v>
      </c>
      <c r="E8" s="43">
        <v>167</v>
      </c>
      <c r="F8" s="42">
        <v>237</v>
      </c>
      <c r="G8" s="44">
        <v>0.13130193905817175</v>
      </c>
      <c r="H8" s="45">
        <v>344</v>
      </c>
      <c r="I8" s="46">
        <v>45.167867036011081</v>
      </c>
      <c r="J8" s="47">
        <v>389.1678670360111</v>
      </c>
      <c r="K8" s="21"/>
    </row>
    <row r="9" spans="1:22" x14ac:dyDescent="0.25">
      <c r="A9" s="41" t="s">
        <v>9</v>
      </c>
      <c r="B9" s="42">
        <v>26</v>
      </c>
      <c r="C9" s="41">
        <v>7</v>
      </c>
      <c r="D9" s="41">
        <v>40</v>
      </c>
      <c r="E9" s="43">
        <v>197</v>
      </c>
      <c r="F9" s="42">
        <v>270</v>
      </c>
      <c r="G9" s="44">
        <v>0.12037449843958983</v>
      </c>
      <c r="H9" s="45">
        <v>794</v>
      </c>
      <c r="I9" s="46">
        <v>95.577351761034322</v>
      </c>
      <c r="J9" s="47">
        <v>889.57735176103438</v>
      </c>
      <c r="K9" s="21"/>
    </row>
    <row r="10" spans="1:22" x14ac:dyDescent="0.25">
      <c r="A10" s="41" t="s">
        <v>10</v>
      </c>
      <c r="B10" s="42">
        <v>9</v>
      </c>
      <c r="C10" s="41">
        <v>6</v>
      </c>
      <c r="D10" s="41">
        <v>30</v>
      </c>
      <c r="E10" s="43">
        <v>95</v>
      </c>
      <c r="F10" s="42">
        <v>140</v>
      </c>
      <c r="G10" s="44">
        <v>0.10752688172043011</v>
      </c>
      <c r="H10" s="45">
        <v>743</v>
      </c>
      <c r="I10" s="46">
        <v>79.892473118279568</v>
      </c>
      <c r="J10" s="47">
        <v>822.89247311827955</v>
      </c>
      <c r="K10" s="21"/>
    </row>
    <row r="11" spans="1:22" x14ac:dyDescent="0.25">
      <c r="A11" s="48" t="s">
        <v>168</v>
      </c>
      <c r="B11" s="49" t="s">
        <v>87</v>
      </c>
      <c r="C11" s="48" t="s">
        <v>87</v>
      </c>
      <c r="D11" s="48">
        <v>10</v>
      </c>
      <c r="E11" s="50">
        <v>19</v>
      </c>
      <c r="F11" s="49">
        <v>33</v>
      </c>
      <c r="G11" s="51">
        <v>5.7793345008756568E-2</v>
      </c>
      <c r="H11" s="52">
        <v>322</v>
      </c>
      <c r="I11" s="53">
        <v>18.609457092819614</v>
      </c>
      <c r="J11" s="54">
        <v>340.60945709281964</v>
      </c>
      <c r="K11" s="21"/>
    </row>
    <row r="12" spans="1:22" x14ac:dyDescent="0.25">
      <c r="A12" s="87" t="s">
        <v>160</v>
      </c>
      <c r="B12" s="21"/>
      <c r="C12" s="21"/>
      <c r="D12" s="21"/>
      <c r="E12" s="21"/>
      <c r="F12" s="21"/>
      <c r="G12" s="21"/>
      <c r="H12" s="21"/>
      <c r="I12" s="61"/>
      <c r="J12" s="61"/>
      <c r="K12" s="29"/>
    </row>
    <row r="13" spans="1:22" x14ac:dyDescent="0.25">
      <c r="A13" s="21"/>
      <c r="B13" s="21"/>
      <c r="C13" s="21"/>
      <c r="D13" s="21"/>
      <c r="E13" s="21"/>
      <c r="F13" s="21"/>
      <c r="G13" s="21"/>
      <c r="H13" s="21"/>
      <c r="I13" s="61"/>
      <c r="J13" s="61"/>
      <c r="K13" s="29"/>
    </row>
    <row r="14" spans="1:22" x14ac:dyDescent="0.25">
      <c r="B14" s="21"/>
      <c r="C14" s="21"/>
      <c r="D14" s="21"/>
    </row>
    <row r="15" spans="1:22" ht="15.6" customHeight="1" x14ac:dyDescent="0.25"/>
    <row r="16" spans="1:22" ht="93" customHeight="1" x14ac:dyDescent="0.25">
      <c r="A16" s="109" t="s">
        <v>203</v>
      </c>
      <c r="B16" s="109"/>
      <c r="C16" s="109"/>
      <c r="D16" s="109"/>
      <c r="E16" s="109"/>
      <c r="F16" s="109"/>
      <c r="G16" s="109"/>
      <c r="H16" s="109"/>
      <c r="I16" s="109"/>
      <c r="J16" s="109"/>
    </row>
    <row r="17" spans="1:16" ht="19.95" customHeight="1" x14ac:dyDescent="0.25">
      <c r="A17" s="59" t="s">
        <v>146</v>
      </c>
      <c r="B17" s="60"/>
      <c r="C17" s="60"/>
      <c r="D17" s="60"/>
      <c r="E17" s="60"/>
      <c r="F17" s="62"/>
      <c r="G17" s="62"/>
      <c r="H17" s="62"/>
      <c r="I17" s="62"/>
      <c r="J17" s="62"/>
    </row>
    <row r="18" spans="1:16" ht="34.200000000000003" customHeight="1" x14ac:dyDescent="0.25">
      <c r="A18" s="107" t="s">
        <v>167</v>
      </c>
      <c r="B18" s="110" t="s">
        <v>2</v>
      </c>
      <c r="C18" s="107"/>
      <c r="D18" s="111"/>
      <c r="E18" s="110" t="s">
        <v>4</v>
      </c>
      <c r="F18" s="107"/>
      <c r="G18" s="111"/>
      <c r="H18" s="110" t="s">
        <v>145</v>
      </c>
      <c r="I18" s="107"/>
      <c r="J18" s="111"/>
      <c r="K18" s="110" t="s">
        <v>173</v>
      </c>
      <c r="L18" s="107"/>
      <c r="M18" s="111"/>
      <c r="N18" s="110" t="s">
        <v>1</v>
      </c>
      <c r="O18" s="107"/>
      <c r="P18" s="111"/>
    </row>
    <row r="19" spans="1:16" x14ac:dyDescent="0.25">
      <c r="A19" s="108"/>
      <c r="B19" s="49" t="s">
        <v>166</v>
      </c>
      <c r="C19" s="89" t="s">
        <v>7</v>
      </c>
      <c r="D19" s="90" t="s">
        <v>147</v>
      </c>
      <c r="E19" s="91" t="s">
        <v>166</v>
      </c>
      <c r="F19" s="89" t="s">
        <v>7</v>
      </c>
      <c r="G19" s="90" t="s">
        <v>147</v>
      </c>
      <c r="H19" s="91" t="s">
        <v>101</v>
      </c>
      <c r="I19" s="89" t="s">
        <v>7</v>
      </c>
      <c r="J19" s="90" t="s">
        <v>147</v>
      </c>
      <c r="K19" s="91" t="s">
        <v>166</v>
      </c>
      <c r="L19" s="89" t="s">
        <v>7</v>
      </c>
      <c r="M19" s="90" t="s">
        <v>147</v>
      </c>
      <c r="N19" s="91" t="s">
        <v>101</v>
      </c>
      <c r="O19" s="89" t="s">
        <v>7</v>
      </c>
      <c r="P19" s="90" t="s">
        <v>147</v>
      </c>
    </row>
    <row r="20" spans="1:16" x14ac:dyDescent="0.25">
      <c r="A20" s="34" t="s">
        <v>12</v>
      </c>
      <c r="B20" s="35">
        <v>166</v>
      </c>
      <c r="C20" s="34">
        <v>5268</v>
      </c>
      <c r="D20" s="64">
        <f>B20/C20</f>
        <v>3.1511009870918753E-2</v>
      </c>
      <c r="E20" s="35">
        <v>105</v>
      </c>
      <c r="F20" s="34">
        <v>4956</v>
      </c>
      <c r="G20" s="64">
        <f>E20/F20</f>
        <v>2.1186440677966101E-2</v>
      </c>
      <c r="H20" s="35">
        <v>353</v>
      </c>
      <c r="I20" s="34">
        <v>10404</v>
      </c>
      <c r="J20" s="64">
        <f>H20/I20</f>
        <v>3.3929257977700883E-2</v>
      </c>
      <c r="K20" s="35">
        <v>420</v>
      </c>
      <c r="L20" s="34">
        <v>11214</v>
      </c>
      <c r="M20" s="64">
        <f>K20/L20</f>
        <v>3.7453183520599252E-2</v>
      </c>
      <c r="N20" s="65">
        <v>145.10249042145594</v>
      </c>
      <c r="O20" s="34">
        <v>3624</v>
      </c>
      <c r="P20" s="64">
        <f>N20/O20</f>
        <v>4.0039318548966869E-2</v>
      </c>
    </row>
    <row r="21" spans="1:16" x14ac:dyDescent="0.25">
      <c r="A21" s="41" t="s">
        <v>13</v>
      </c>
      <c r="B21" s="42">
        <v>355</v>
      </c>
      <c r="C21" s="41">
        <v>11061</v>
      </c>
      <c r="D21" s="66">
        <f t="shared" ref="D21:D24" si="0">B21/C21</f>
        <v>3.2094747310369764E-2</v>
      </c>
      <c r="E21" s="42">
        <v>129</v>
      </c>
      <c r="F21" s="41">
        <v>6146</v>
      </c>
      <c r="G21" s="66">
        <f t="shared" ref="G21:G24" si="1">E21/F21</f>
        <v>2.0989261308167913E-2</v>
      </c>
      <c r="H21" s="42">
        <v>328</v>
      </c>
      <c r="I21" s="41">
        <v>10998</v>
      </c>
      <c r="J21" s="66">
        <f>H21/I21</f>
        <v>2.9823604291689398E-2</v>
      </c>
      <c r="K21" s="42">
        <v>993</v>
      </c>
      <c r="L21" s="41">
        <v>28243</v>
      </c>
      <c r="M21" s="66">
        <f>K21/L21</f>
        <v>3.5159154480756294E-2</v>
      </c>
      <c r="N21" s="67">
        <v>389.1678670360111</v>
      </c>
      <c r="O21" s="41">
        <v>11716</v>
      </c>
      <c r="P21" s="66">
        <f t="shared" ref="P21:P24" si="2">N21/O21</f>
        <v>3.3216786192899549E-2</v>
      </c>
    </row>
    <row r="22" spans="1:16" x14ac:dyDescent="0.25">
      <c r="A22" s="41" t="s">
        <v>9</v>
      </c>
      <c r="B22" s="42">
        <v>441</v>
      </c>
      <c r="C22" s="41">
        <v>12527</v>
      </c>
      <c r="D22" s="66">
        <f t="shared" si="0"/>
        <v>3.5203959447593199E-2</v>
      </c>
      <c r="E22" s="42">
        <v>173</v>
      </c>
      <c r="F22" s="41">
        <v>7070</v>
      </c>
      <c r="G22" s="66">
        <f t="shared" si="1"/>
        <v>2.446958981612447E-2</v>
      </c>
      <c r="H22" s="42">
        <v>338</v>
      </c>
      <c r="I22" s="41">
        <v>10419</v>
      </c>
      <c r="J22" s="66">
        <f>H22/I22</f>
        <v>3.2440733275746231E-2</v>
      </c>
      <c r="K22" s="42">
        <v>1291</v>
      </c>
      <c r="L22" s="41">
        <v>34627</v>
      </c>
      <c r="M22" s="66">
        <f>K22/L22</f>
        <v>3.7283045022670172E-2</v>
      </c>
      <c r="N22" s="67">
        <v>889.57735176103438</v>
      </c>
      <c r="O22" s="41">
        <v>28951</v>
      </c>
      <c r="P22" s="66">
        <f t="shared" si="2"/>
        <v>3.072699912821783E-2</v>
      </c>
    </row>
    <row r="23" spans="1:16" x14ac:dyDescent="0.25">
      <c r="A23" s="41" t="s">
        <v>10</v>
      </c>
      <c r="B23" s="42">
        <v>221</v>
      </c>
      <c r="C23" s="41">
        <v>6030</v>
      </c>
      <c r="D23" s="66">
        <f t="shared" si="0"/>
        <v>3.6650082918739633E-2</v>
      </c>
      <c r="E23" s="42">
        <v>125</v>
      </c>
      <c r="F23" s="41">
        <v>4878</v>
      </c>
      <c r="G23" s="66">
        <f t="shared" si="1"/>
        <v>2.5625256252562525E-2</v>
      </c>
      <c r="H23" s="42">
        <v>258</v>
      </c>
      <c r="I23" s="41">
        <v>6336</v>
      </c>
      <c r="J23" s="66">
        <f>H23/I23</f>
        <v>4.0719696969696968E-2</v>
      </c>
      <c r="K23" s="42">
        <v>698</v>
      </c>
      <c r="L23" s="41">
        <v>17377</v>
      </c>
      <c r="M23" s="66">
        <f>K23/L23</f>
        <v>4.0168038211428898E-2</v>
      </c>
      <c r="N23" s="67">
        <v>822.89247311827955</v>
      </c>
      <c r="O23" s="41">
        <v>20414</v>
      </c>
      <c r="P23" s="66">
        <f t="shared" si="2"/>
        <v>4.031020246489074E-2</v>
      </c>
    </row>
    <row r="24" spans="1:16" x14ac:dyDescent="0.25">
      <c r="A24" s="48" t="s">
        <v>168</v>
      </c>
      <c r="B24" s="49">
        <v>91</v>
      </c>
      <c r="C24" s="48">
        <v>1409</v>
      </c>
      <c r="D24" s="68">
        <f t="shared" si="0"/>
        <v>6.4584811923349889E-2</v>
      </c>
      <c r="E24" s="49">
        <v>101</v>
      </c>
      <c r="F24" s="48">
        <v>1740</v>
      </c>
      <c r="G24" s="68">
        <f t="shared" si="1"/>
        <v>5.8045977011494256E-2</v>
      </c>
      <c r="H24" s="49">
        <v>125</v>
      </c>
      <c r="I24" s="48">
        <v>1924</v>
      </c>
      <c r="J24" s="68">
        <f>H24/I24</f>
        <v>6.4968814968814972E-2</v>
      </c>
      <c r="K24" s="49">
        <v>254</v>
      </c>
      <c r="L24" s="48">
        <v>3758</v>
      </c>
      <c r="M24" s="68">
        <f>K24/L24</f>
        <v>6.7589143161255985E-2</v>
      </c>
      <c r="N24" s="69">
        <v>340.60945709281964</v>
      </c>
      <c r="O24" s="48">
        <v>6393</v>
      </c>
      <c r="P24" s="68">
        <f t="shared" si="2"/>
        <v>5.3278501031256004E-2</v>
      </c>
    </row>
    <row r="25" spans="1:16" x14ac:dyDescent="0.25">
      <c r="A25" s="87" t="s">
        <v>160</v>
      </c>
    </row>
    <row r="26" spans="1:16" x14ac:dyDescent="0.25">
      <c r="A26" s="21"/>
    </row>
    <row r="27" spans="1:16" x14ac:dyDescent="0.25">
      <c r="A27" s="109" t="s">
        <v>169</v>
      </c>
      <c r="B27" s="109"/>
      <c r="C27" s="109"/>
      <c r="D27" s="109"/>
      <c r="E27" s="109"/>
      <c r="F27" s="109"/>
      <c r="G27" s="109"/>
      <c r="H27" s="109"/>
      <c r="I27" s="109"/>
      <c r="J27" s="109"/>
    </row>
    <row r="29" spans="1:16" ht="19.5" customHeight="1" x14ac:dyDescent="0.25">
      <c r="A29" s="59" t="s">
        <v>150</v>
      </c>
      <c r="B29" s="60"/>
      <c r="C29" s="60"/>
      <c r="D29" s="60"/>
      <c r="E29" s="60"/>
      <c r="F29" s="59"/>
    </row>
    <row r="30" spans="1:16" x14ac:dyDescent="0.25">
      <c r="A30" s="107" t="s">
        <v>167</v>
      </c>
      <c r="B30" s="107" t="s">
        <v>149</v>
      </c>
      <c r="C30" s="107" t="s">
        <v>148</v>
      </c>
    </row>
    <row r="31" spans="1:16" x14ac:dyDescent="0.25">
      <c r="A31" s="108"/>
      <c r="B31" s="108">
        <v>298215</v>
      </c>
      <c r="C31" s="108" t="e">
        <f>B31/$I$57</f>
        <v>#DIV/0!</v>
      </c>
    </row>
    <row r="32" spans="1:16" x14ac:dyDescent="0.25">
      <c r="A32" s="34" t="s">
        <v>12</v>
      </c>
      <c r="B32" s="34">
        <v>298215</v>
      </c>
      <c r="C32" s="37">
        <v>0.13369087043083325</v>
      </c>
      <c r="E32" s="70"/>
    </row>
    <row r="33" spans="1:10" x14ac:dyDescent="0.25">
      <c r="A33" s="41" t="s">
        <v>13</v>
      </c>
      <c r="B33" s="41">
        <v>633652</v>
      </c>
      <c r="C33" s="44">
        <v>0.28406849900319686</v>
      </c>
      <c r="E33" s="70"/>
    </row>
    <row r="34" spans="1:10" x14ac:dyDescent="0.25">
      <c r="A34" s="41" t="s">
        <v>9</v>
      </c>
      <c r="B34" s="41">
        <v>771168</v>
      </c>
      <c r="C34" s="44">
        <v>0.34571742255890819</v>
      </c>
      <c r="E34" s="70"/>
    </row>
    <row r="35" spans="1:10" x14ac:dyDescent="0.25">
      <c r="A35" s="41" t="s">
        <v>10</v>
      </c>
      <c r="B35" s="41">
        <v>418906</v>
      </c>
      <c r="C35" s="44">
        <v>0.18779708521938412</v>
      </c>
      <c r="E35" s="70"/>
    </row>
    <row r="36" spans="1:10" x14ac:dyDescent="0.25">
      <c r="A36" s="48" t="s">
        <v>168</v>
      </c>
      <c r="B36" s="48">
        <v>108690</v>
      </c>
      <c r="C36" s="51">
        <v>4.8726122787677566E-2</v>
      </c>
      <c r="E36" s="70"/>
    </row>
    <row r="37" spans="1:10" x14ac:dyDescent="0.25">
      <c r="A37" s="71" t="s">
        <v>151</v>
      </c>
      <c r="B37" s="19">
        <f>SUM(B32:B36)</f>
        <v>2230631</v>
      </c>
      <c r="C37" s="72">
        <f>SUM(C32:C36)</f>
        <v>1</v>
      </c>
    </row>
    <row r="39" spans="1:10" ht="25.5" customHeight="1" x14ac:dyDescent="0.25">
      <c r="A39" s="59" t="s">
        <v>170</v>
      </c>
      <c r="B39" s="73"/>
      <c r="C39" s="59"/>
      <c r="D39" s="59"/>
      <c r="E39" s="59"/>
      <c r="F39" s="59"/>
      <c r="G39" s="59"/>
      <c r="H39" s="59"/>
      <c r="I39" s="62"/>
      <c r="J39" s="62"/>
    </row>
    <row r="40" spans="1:10" ht="39.6" x14ac:dyDescent="0.25">
      <c r="A40" s="74" t="s">
        <v>0</v>
      </c>
      <c r="B40" s="63" t="s">
        <v>166</v>
      </c>
      <c r="C40" s="75" t="s">
        <v>7</v>
      </c>
      <c r="D40" s="76" t="s">
        <v>152</v>
      </c>
      <c r="E40" s="77" t="s">
        <v>171</v>
      </c>
      <c r="F40" s="78" t="s">
        <v>153</v>
      </c>
      <c r="G40" s="76" t="s">
        <v>172</v>
      </c>
      <c r="H40" s="76" t="s">
        <v>154</v>
      </c>
    </row>
    <row r="41" spans="1:10" x14ac:dyDescent="0.25">
      <c r="A41" s="79" t="s">
        <v>1</v>
      </c>
      <c r="B41" s="29">
        <v>2336</v>
      </c>
      <c r="C41" s="29">
        <v>71100</v>
      </c>
      <c r="D41" s="30">
        <f>B41/C41*10000</f>
        <v>328.55133614627289</v>
      </c>
      <c r="E41" s="80">
        <v>2587</v>
      </c>
      <c r="F41" s="81">
        <f t="shared" ref="F41:F45" si="3">E41/C41*10000</f>
        <v>363.85372714486635</v>
      </c>
      <c r="G41" s="29">
        <v>355.8</v>
      </c>
      <c r="H41" s="30">
        <f>G41-D41</f>
        <v>27.248663853727123</v>
      </c>
    </row>
    <row r="42" spans="1:10" x14ac:dyDescent="0.25">
      <c r="A42" s="79" t="s">
        <v>2</v>
      </c>
      <c r="B42" s="29">
        <v>1274</v>
      </c>
      <c r="C42" s="29">
        <v>36297</v>
      </c>
      <c r="D42" s="30">
        <f>B42/C42*10000</f>
        <v>350.99319502989232</v>
      </c>
      <c r="E42" s="45">
        <f>+B42</f>
        <v>1274</v>
      </c>
      <c r="F42" s="82">
        <f t="shared" si="3"/>
        <v>350.99319502989232</v>
      </c>
      <c r="G42" s="29">
        <v>355.3</v>
      </c>
      <c r="H42" s="30">
        <f t="shared" ref="H42:H45" si="4">G42-D42</f>
        <v>4.3068049701076916</v>
      </c>
    </row>
    <row r="43" spans="1:10" x14ac:dyDescent="0.25">
      <c r="A43" s="79" t="s">
        <v>3</v>
      </c>
      <c r="B43" s="28">
        <v>1402</v>
      </c>
      <c r="C43" s="28">
        <v>40081</v>
      </c>
      <c r="D43" s="30">
        <f>B43/C43*10000</f>
        <v>349.79167186447444</v>
      </c>
      <c r="E43" s="45">
        <f t="shared" ref="E43:E45" si="5">+B43</f>
        <v>1402</v>
      </c>
      <c r="F43" s="82">
        <f t="shared" si="3"/>
        <v>349.79167186447444</v>
      </c>
      <c r="G43" s="28">
        <v>350.4</v>
      </c>
      <c r="H43" s="30">
        <f t="shared" si="4"/>
        <v>0.60832813552553944</v>
      </c>
    </row>
    <row r="44" spans="1:10" x14ac:dyDescent="0.25">
      <c r="A44" s="79" t="s">
        <v>4</v>
      </c>
      <c r="B44" s="28">
        <v>633</v>
      </c>
      <c r="C44" s="28">
        <v>24791</v>
      </c>
      <c r="D44" s="30">
        <f>B44/C44*10000</f>
        <v>255.33459723286674</v>
      </c>
      <c r="E44" s="45">
        <f t="shared" si="5"/>
        <v>633</v>
      </c>
      <c r="F44" s="82">
        <f t="shared" si="3"/>
        <v>255.33459723286674</v>
      </c>
      <c r="G44" s="28">
        <v>249</v>
      </c>
      <c r="H44" s="30">
        <f t="shared" si="4"/>
        <v>-6.3345972328667415</v>
      </c>
    </row>
    <row r="45" spans="1:10" x14ac:dyDescent="0.25">
      <c r="A45" s="79" t="s">
        <v>5</v>
      </c>
      <c r="B45" s="28">
        <v>3784</v>
      </c>
      <c r="C45" s="28">
        <v>95219</v>
      </c>
      <c r="D45" s="30">
        <f>B45/C45*10000</f>
        <v>397.39967863556643</v>
      </c>
      <c r="E45" s="45">
        <f t="shared" si="5"/>
        <v>3784</v>
      </c>
      <c r="F45" s="82">
        <f t="shared" si="3"/>
        <v>397.39967863556643</v>
      </c>
      <c r="G45" s="28">
        <v>387.2</v>
      </c>
      <c r="H45" s="30">
        <f t="shared" si="4"/>
        <v>-10.199678635566443</v>
      </c>
    </row>
    <row r="46" spans="1:10" x14ac:dyDescent="0.25">
      <c r="A46" s="83" t="s">
        <v>6</v>
      </c>
      <c r="B46" s="71">
        <v>9429</v>
      </c>
      <c r="C46" s="71">
        <v>267488</v>
      </c>
      <c r="D46" s="84">
        <f t="shared" ref="D46" si="6">B46/C46*10000</f>
        <v>352.50179447302304</v>
      </c>
      <c r="E46" s="85">
        <f>SUM(E41:E45)</f>
        <v>9680</v>
      </c>
      <c r="F46" s="86">
        <f>E46/C46*10000</f>
        <v>361.88539298959205</v>
      </c>
      <c r="G46" s="71"/>
      <c r="H46" s="84"/>
    </row>
  </sheetData>
  <sortState xmlns:xlrd2="http://schemas.microsoft.com/office/spreadsheetml/2017/richdata2" ref="A3:D14">
    <sortCondition descending="1" ref="B4:B14"/>
  </sortState>
  <mergeCells count="14">
    <mergeCell ref="K3:T3"/>
    <mergeCell ref="N18:P18"/>
    <mergeCell ref="A4:J4"/>
    <mergeCell ref="A16:J16"/>
    <mergeCell ref="M6:V6"/>
    <mergeCell ref="K18:M18"/>
    <mergeCell ref="A30:A31"/>
    <mergeCell ref="B30:B31"/>
    <mergeCell ref="C30:C31"/>
    <mergeCell ref="A27:J27"/>
    <mergeCell ref="A18:A19"/>
    <mergeCell ref="B18:D18"/>
    <mergeCell ref="E18:G18"/>
    <mergeCell ref="H18:J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Normal="100" workbookViewId="0"/>
  </sheetViews>
  <sheetFormatPr baseColWidth="10" defaultColWidth="11.5546875" defaultRowHeight="13.2" x14ac:dyDescent="0.25"/>
  <cols>
    <col min="1" max="1" width="36.77734375" style="5" bestFit="1" customWidth="1"/>
    <col min="2" max="2" width="17" style="5" customWidth="1"/>
    <col min="3" max="3" width="17.21875" style="5" bestFit="1" customWidth="1"/>
    <col min="4" max="4" width="17" style="5" customWidth="1"/>
    <col min="5" max="5" width="20.21875" style="5" bestFit="1" customWidth="1"/>
    <col min="6" max="6" width="20.5546875" style="5" bestFit="1" customWidth="1"/>
    <col min="7" max="16384" width="11.5546875" style="5"/>
  </cols>
  <sheetData>
    <row r="1" spans="1:7" ht="27" customHeight="1" x14ac:dyDescent="0.25">
      <c r="A1" s="14" t="s">
        <v>20</v>
      </c>
      <c r="B1" s="9" t="s">
        <v>135</v>
      </c>
      <c r="C1" s="9"/>
    </row>
    <row r="2" spans="1:7" s="14" customFormat="1" ht="26.4" x14ac:dyDescent="0.3">
      <c r="A2" s="99" t="s">
        <v>31</v>
      </c>
      <c r="B2" s="34" t="s">
        <v>32</v>
      </c>
      <c r="C2" s="34" t="s">
        <v>7</v>
      </c>
      <c r="D2" s="34" t="s">
        <v>36</v>
      </c>
      <c r="E2" s="34" t="s">
        <v>37</v>
      </c>
      <c r="F2" s="34" t="s">
        <v>38</v>
      </c>
      <c r="G2" s="92"/>
    </row>
    <row r="3" spans="1:7" x14ac:dyDescent="0.25">
      <c r="A3" s="93" t="s">
        <v>44</v>
      </c>
      <c r="B3" s="94">
        <v>2546</v>
      </c>
      <c r="C3" s="94">
        <v>267488</v>
      </c>
      <c r="D3" s="95">
        <f>B3/C3*10000</f>
        <v>95.181839933006344</v>
      </c>
      <c r="E3" s="95">
        <f>((SUMSQ((1.96/2)-SQRT(B3+0.02)))/C3)*10000</f>
        <v>91.521209220437939</v>
      </c>
      <c r="F3" s="95">
        <f>(((SUMSQ((1.96/2)+SQRT(B3+0.96)))/C3))*10000</f>
        <v>98.951599094196879</v>
      </c>
      <c r="G3" s="21"/>
    </row>
    <row r="4" spans="1:7" x14ac:dyDescent="0.25">
      <c r="A4" s="96" t="s">
        <v>45</v>
      </c>
      <c r="B4" s="23">
        <v>2108</v>
      </c>
      <c r="C4" s="23">
        <v>267488</v>
      </c>
      <c r="D4" s="24">
        <f t="shared" ref="D4:D14" si="0">B4/C4*10000</f>
        <v>78.807273597320261</v>
      </c>
      <c r="E4" s="24">
        <f t="shared" ref="E4:E14" si="1">((SUMSQ((1.96/2)-SQRT(B4+0.02)))/C4)*10000</f>
        <v>75.479668967790545</v>
      </c>
      <c r="F4" s="24">
        <f t="shared" ref="F4:F14" si="2">(((SUMSQ((1.96/2)+SQRT(B4+0.96)))/C4))*10000</f>
        <v>82.244074217688606</v>
      </c>
      <c r="G4" s="21"/>
    </row>
    <row r="5" spans="1:7" x14ac:dyDescent="0.25">
      <c r="A5" s="96" t="s">
        <v>46</v>
      </c>
      <c r="B5" s="23">
        <v>1881</v>
      </c>
      <c r="C5" s="23">
        <v>267488</v>
      </c>
      <c r="D5" s="24">
        <f t="shared" si="0"/>
        <v>70.32091159229573</v>
      </c>
      <c r="E5" s="24">
        <f t="shared" si="1"/>
        <v>67.179603353707677</v>
      </c>
      <c r="F5" s="24">
        <f t="shared" si="2"/>
        <v>73.571459777335136</v>
      </c>
      <c r="G5" s="21"/>
    </row>
    <row r="6" spans="1:7" x14ac:dyDescent="0.25">
      <c r="A6" s="96" t="s">
        <v>47</v>
      </c>
      <c r="B6" s="23">
        <v>1633</v>
      </c>
      <c r="C6" s="23">
        <v>267488</v>
      </c>
      <c r="D6" s="24">
        <f t="shared" si="0"/>
        <v>61.049467639669814</v>
      </c>
      <c r="E6" s="24">
        <f t="shared" si="1"/>
        <v>58.125057623562604</v>
      </c>
      <c r="F6" s="24">
        <f t="shared" si="2"/>
        <v>64.083175743757437</v>
      </c>
      <c r="G6" s="21"/>
    </row>
    <row r="7" spans="1:7" x14ac:dyDescent="0.25">
      <c r="A7" s="96" t="s">
        <v>48</v>
      </c>
      <c r="B7" s="23">
        <v>1113</v>
      </c>
      <c r="C7" s="23">
        <v>267488</v>
      </c>
      <c r="D7" s="24">
        <f t="shared" si="0"/>
        <v>41.609343222873548</v>
      </c>
      <c r="E7" s="24">
        <f t="shared" si="1"/>
        <v>39.201420976520922</v>
      </c>
      <c r="F7" s="24">
        <f t="shared" si="2"/>
        <v>44.126743519220838</v>
      </c>
      <c r="G7" s="21"/>
    </row>
    <row r="8" spans="1:7" x14ac:dyDescent="0.25">
      <c r="A8" s="96" t="s">
        <v>49</v>
      </c>
      <c r="B8" s="23">
        <v>725</v>
      </c>
      <c r="C8" s="23">
        <v>267488</v>
      </c>
      <c r="D8" s="24">
        <f t="shared" si="0"/>
        <v>27.104019619571719</v>
      </c>
      <c r="E8" s="24">
        <f t="shared" si="1"/>
        <v>25.167673202886714</v>
      </c>
      <c r="F8" s="24">
        <f t="shared" si="2"/>
        <v>29.150090620361002</v>
      </c>
      <c r="G8" s="21"/>
    </row>
    <row r="9" spans="1:7" x14ac:dyDescent="0.25">
      <c r="A9" s="96" t="s">
        <v>50</v>
      </c>
      <c r="B9" s="23">
        <v>557</v>
      </c>
      <c r="C9" s="23">
        <v>267488</v>
      </c>
      <c r="D9" s="24">
        <f t="shared" si="0"/>
        <v>20.823364038760616</v>
      </c>
      <c r="E9" s="24">
        <f t="shared" si="1"/>
        <v>19.130649170866512</v>
      </c>
      <c r="F9" s="24">
        <f t="shared" si="2"/>
        <v>22.625983475936216</v>
      </c>
      <c r="G9" s="21"/>
    </row>
    <row r="10" spans="1:7" x14ac:dyDescent="0.25">
      <c r="A10" s="96" t="s">
        <v>11</v>
      </c>
      <c r="B10" s="23">
        <v>379</v>
      </c>
      <c r="C10" s="23">
        <v>267488</v>
      </c>
      <c r="D10" s="24">
        <f t="shared" si="0"/>
        <v>14.168859911472664</v>
      </c>
      <c r="E10" s="24">
        <f t="shared" si="1"/>
        <v>12.77897570935524</v>
      </c>
      <c r="F10" s="24">
        <f t="shared" si="2"/>
        <v>15.668957966755865</v>
      </c>
      <c r="G10" s="21"/>
    </row>
    <row r="11" spans="1:7" x14ac:dyDescent="0.25">
      <c r="A11" s="96" t="s">
        <v>178</v>
      </c>
      <c r="B11" s="23">
        <v>221</v>
      </c>
      <c r="C11" s="23">
        <v>267488</v>
      </c>
      <c r="D11" s="24">
        <f t="shared" si="0"/>
        <v>8.2620528771384141</v>
      </c>
      <c r="E11" s="24">
        <f t="shared" si="1"/>
        <v>7.2093546942818749</v>
      </c>
      <c r="F11" s="24">
        <f t="shared" si="2"/>
        <v>9.425511096730137</v>
      </c>
      <c r="G11" s="21"/>
    </row>
    <row r="12" spans="1:7" x14ac:dyDescent="0.25">
      <c r="A12" s="96" t="s">
        <v>177</v>
      </c>
      <c r="B12" s="23">
        <v>189</v>
      </c>
      <c r="C12" s="23">
        <v>267488</v>
      </c>
      <c r="D12" s="24">
        <f t="shared" si="0"/>
        <v>7.0657375284124893</v>
      </c>
      <c r="E12" s="24">
        <f t="shared" si="1"/>
        <v>6.0949810556420516</v>
      </c>
      <c r="F12" s="24">
        <f t="shared" si="2"/>
        <v>8.1474418118758027</v>
      </c>
      <c r="G12" s="21"/>
    </row>
    <row r="13" spans="1:7" x14ac:dyDescent="0.25">
      <c r="A13" s="96" t="s">
        <v>51</v>
      </c>
      <c r="B13" s="23">
        <v>162</v>
      </c>
      <c r="C13" s="23">
        <v>267488</v>
      </c>
      <c r="D13" s="24">
        <f t="shared" si="0"/>
        <v>6.0563464529249913</v>
      </c>
      <c r="E13" s="24">
        <f t="shared" si="1"/>
        <v>5.1603112246466942</v>
      </c>
      <c r="F13" s="24">
        <f t="shared" si="2"/>
        <v>7.063529365312136</v>
      </c>
      <c r="G13" s="21"/>
    </row>
    <row r="14" spans="1:7" x14ac:dyDescent="0.25">
      <c r="A14" s="97" t="s">
        <v>176</v>
      </c>
      <c r="B14" s="89">
        <v>92</v>
      </c>
      <c r="C14" s="89">
        <v>267488</v>
      </c>
      <c r="D14" s="98">
        <f t="shared" si="0"/>
        <v>3.4394066275870321</v>
      </c>
      <c r="E14" s="98">
        <f t="shared" si="1"/>
        <v>2.7731598089783791</v>
      </c>
      <c r="F14" s="98">
        <f t="shared" si="2"/>
        <v>4.2176804269248755</v>
      </c>
      <c r="G14" s="21"/>
    </row>
    <row r="16" spans="1:7" x14ac:dyDescent="0.25">
      <c r="D16" s="21"/>
    </row>
    <row r="17" spans="4:4" x14ac:dyDescent="0.25">
      <c r="D17" s="6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6457-51B2-492D-9529-9610A95F4425}">
  <dimension ref="A1:F14"/>
  <sheetViews>
    <sheetView zoomScaleNormal="100" workbookViewId="0"/>
  </sheetViews>
  <sheetFormatPr baseColWidth="10" defaultColWidth="11.5546875" defaultRowHeight="13.2" x14ac:dyDescent="0.25"/>
  <cols>
    <col min="1" max="1" width="40.21875" style="5" customWidth="1"/>
    <col min="2" max="2" width="15.77734375" style="5" customWidth="1"/>
    <col min="3" max="3" width="22.44140625" style="5" bestFit="1" customWidth="1"/>
    <col min="4" max="4" width="15" style="5" customWidth="1"/>
    <col min="5" max="5" width="19.77734375" style="5" customWidth="1"/>
    <col min="6" max="6" width="20.5546875" style="5" bestFit="1" customWidth="1"/>
    <col min="7" max="16384" width="11.5546875" style="5"/>
  </cols>
  <sheetData>
    <row r="1" spans="1:6" s="8" customFormat="1" ht="27" customHeight="1" x14ac:dyDescent="0.25">
      <c r="A1" s="14" t="s">
        <v>21</v>
      </c>
      <c r="B1" s="9" t="s">
        <v>136</v>
      </c>
    </row>
    <row r="2" spans="1:6" s="104" customFormat="1" ht="26.4" x14ac:dyDescent="0.3">
      <c r="A2" s="99" t="s">
        <v>31</v>
      </c>
      <c r="B2" s="34" t="s">
        <v>32</v>
      </c>
      <c r="C2" s="32" t="s">
        <v>175</v>
      </c>
      <c r="D2" s="19" t="s">
        <v>35</v>
      </c>
      <c r="E2" s="19" t="s">
        <v>37</v>
      </c>
      <c r="F2" s="20" t="s">
        <v>38</v>
      </c>
    </row>
    <row r="3" spans="1:6" x14ac:dyDescent="0.25">
      <c r="A3" s="93" t="s">
        <v>44</v>
      </c>
      <c r="B3" s="94">
        <v>2546</v>
      </c>
      <c r="C3" s="100">
        <v>464</v>
      </c>
      <c r="D3" s="95">
        <f t="shared" ref="D3:D14" si="0">C3/B3*100</f>
        <v>18.224666142969365</v>
      </c>
      <c r="E3" s="95">
        <f>((D3/100+1.96^2/(2*B3))-1.96*SQRT(((D3/100)*(1-D3/100)+1.96^2/(4*B3^2))/B3))/(1+1.96^2/B3)*100</f>
        <v>16.775223751990112</v>
      </c>
      <c r="F3" s="101">
        <f>((D3/100 + 1.96^2/(2*B3)) + 1.96 * SQRT(((D3/100)*(1-D3/100) + 1.96^2/(4*B3^2))/B3)) / (1 + 1.96^2/B3) * 100</f>
        <v>19.769854185400195</v>
      </c>
    </row>
    <row r="4" spans="1:6" x14ac:dyDescent="0.25">
      <c r="A4" s="96" t="s">
        <v>45</v>
      </c>
      <c r="B4" s="23">
        <v>2108</v>
      </c>
      <c r="C4" s="102">
        <v>2108</v>
      </c>
      <c r="D4" s="24">
        <f t="shared" si="0"/>
        <v>100</v>
      </c>
      <c r="E4" s="24" t="s">
        <v>174</v>
      </c>
      <c r="F4" s="25" t="s">
        <v>174</v>
      </c>
    </row>
    <row r="5" spans="1:6" x14ac:dyDescent="0.25">
      <c r="A5" s="96" t="s">
        <v>46</v>
      </c>
      <c r="B5" s="23">
        <v>1881</v>
      </c>
      <c r="C5" s="102">
        <v>266</v>
      </c>
      <c r="D5" s="24">
        <f t="shared" si="0"/>
        <v>14.14141414141414</v>
      </c>
      <c r="E5" s="24">
        <f t="shared" ref="E5:E14" si="1">((D5/100+1.96^2/(2*B5))-1.96*SQRT(((D5/100)*(1-D5/100)+1.96^2/(4*B5^2))/B5))/(1+1.96^2/B5)*100</f>
        <v>12.642999521462867</v>
      </c>
      <c r="F5" s="25">
        <f t="shared" ref="F5:F14" si="2">((D5/100 + 1.96^2/(2*B5)) + 1.96 * SQRT(((D5/100)*(1-D5/100) + 1.96^2/(4*B5^2))/B5)) / (1 + 1.96^2/B5) * 100</f>
        <v>15.785999498932272</v>
      </c>
    </row>
    <row r="6" spans="1:6" x14ac:dyDescent="0.25">
      <c r="A6" s="96" t="s">
        <v>47</v>
      </c>
      <c r="B6" s="23">
        <v>1633</v>
      </c>
      <c r="C6" s="102">
        <v>128</v>
      </c>
      <c r="D6" s="24">
        <f t="shared" si="0"/>
        <v>7.8383343539497856</v>
      </c>
      <c r="E6" s="24">
        <f t="shared" si="1"/>
        <v>6.6367253038709144</v>
      </c>
      <c r="F6" s="25">
        <f t="shared" si="2"/>
        <v>9.2378467988908906</v>
      </c>
    </row>
    <row r="7" spans="1:6" x14ac:dyDescent="0.25">
      <c r="A7" s="96" t="s">
        <v>48</v>
      </c>
      <c r="B7" s="23">
        <v>1113</v>
      </c>
      <c r="C7" s="102">
        <v>261</v>
      </c>
      <c r="D7" s="24">
        <f t="shared" si="0"/>
        <v>23.450134770889488</v>
      </c>
      <c r="E7" s="24">
        <f t="shared" si="1"/>
        <v>21.06085173497015</v>
      </c>
      <c r="F7" s="25">
        <f t="shared" si="2"/>
        <v>26.022064947216467</v>
      </c>
    </row>
    <row r="8" spans="1:6" x14ac:dyDescent="0.25">
      <c r="A8" s="96" t="s">
        <v>49</v>
      </c>
      <c r="B8" s="23">
        <v>725</v>
      </c>
      <c r="C8" s="102">
        <v>40</v>
      </c>
      <c r="D8" s="24">
        <f t="shared" si="0"/>
        <v>5.5172413793103452</v>
      </c>
      <c r="E8" s="24">
        <f t="shared" si="1"/>
        <v>4.0984589889116165</v>
      </c>
      <c r="F8" s="25">
        <f t="shared" si="2"/>
        <v>7.404945866135078</v>
      </c>
    </row>
    <row r="9" spans="1:6" x14ac:dyDescent="0.25">
      <c r="A9" s="96" t="s">
        <v>50</v>
      </c>
      <c r="B9" s="23">
        <v>557</v>
      </c>
      <c r="C9" s="102">
        <v>99</v>
      </c>
      <c r="D9" s="24">
        <f t="shared" si="0"/>
        <v>17.773788150807899</v>
      </c>
      <c r="E9" s="24">
        <f t="shared" si="1"/>
        <v>14.841388688528051</v>
      </c>
      <c r="F9" s="25">
        <f t="shared" si="2"/>
        <v>21.147667758069346</v>
      </c>
    </row>
    <row r="10" spans="1:6" ht="14.55" customHeight="1" x14ac:dyDescent="0.25">
      <c r="A10" s="96" t="s">
        <v>11</v>
      </c>
      <c r="B10" s="23">
        <v>379</v>
      </c>
      <c r="C10" s="102">
        <v>90</v>
      </c>
      <c r="D10" s="24">
        <f t="shared" si="0"/>
        <v>23.746701846965699</v>
      </c>
      <c r="E10" s="24">
        <f t="shared" si="1"/>
        <v>19.768872658203907</v>
      </c>
      <c r="F10" s="25">
        <f t="shared" si="2"/>
        <v>28.251405179941163</v>
      </c>
    </row>
    <row r="11" spans="1:6" x14ac:dyDescent="0.25">
      <c r="A11" s="96" t="s">
        <v>178</v>
      </c>
      <c r="B11" s="23">
        <v>221</v>
      </c>
      <c r="C11" s="102">
        <v>93</v>
      </c>
      <c r="D11" s="24">
        <f t="shared" si="0"/>
        <v>42.081447963800905</v>
      </c>
      <c r="E11" s="24">
        <f t="shared" si="1"/>
        <v>35.818698477550669</v>
      </c>
      <c r="F11" s="25">
        <f t="shared" si="2"/>
        <v>48.614787140769081</v>
      </c>
    </row>
    <row r="12" spans="1:6" x14ac:dyDescent="0.25">
      <c r="A12" s="96" t="s">
        <v>177</v>
      </c>
      <c r="B12" s="23">
        <v>189</v>
      </c>
      <c r="C12" s="102">
        <v>45</v>
      </c>
      <c r="D12" s="24">
        <f t="shared" si="0"/>
        <v>23.809523809523807</v>
      </c>
      <c r="E12" s="24">
        <f t="shared" si="1"/>
        <v>18.379522209949783</v>
      </c>
      <c r="F12" s="25">
        <f t="shared" si="2"/>
        <v>30.283007036851732</v>
      </c>
    </row>
    <row r="13" spans="1:6" x14ac:dyDescent="0.25">
      <c r="A13" s="96" t="s">
        <v>51</v>
      </c>
      <c r="B13" s="23">
        <v>162</v>
      </c>
      <c r="C13" s="102">
        <v>21</v>
      </c>
      <c r="D13" s="24">
        <f t="shared" si="0"/>
        <v>12.962962962962962</v>
      </c>
      <c r="E13" s="24">
        <f t="shared" si="1"/>
        <v>8.7673705985544572</v>
      </c>
      <c r="F13" s="25">
        <f t="shared" si="2"/>
        <v>18.874427358049918</v>
      </c>
    </row>
    <row r="14" spans="1:6" x14ac:dyDescent="0.25">
      <c r="A14" s="97" t="s">
        <v>176</v>
      </c>
      <c r="B14" s="89">
        <v>92</v>
      </c>
      <c r="C14" s="91">
        <v>28</v>
      </c>
      <c r="D14" s="98">
        <f t="shared" si="0"/>
        <v>30.434782608695656</v>
      </c>
      <c r="E14" s="98">
        <f t="shared" si="1"/>
        <v>22.190971855211071</v>
      </c>
      <c r="F14" s="103">
        <f t="shared" si="2"/>
        <v>40.247050882305842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B598-9B5E-4948-B335-2439F4040001}">
  <dimension ref="A1:E15"/>
  <sheetViews>
    <sheetView workbookViewId="0"/>
  </sheetViews>
  <sheetFormatPr baseColWidth="10" defaultColWidth="11.5546875" defaultRowHeight="13.2" x14ac:dyDescent="0.25"/>
  <cols>
    <col min="1" max="1" width="39.21875" style="5" bestFit="1" customWidth="1"/>
    <col min="2" max="2" width="19.77734375" style="5" customWidth="1"/>
    <col min="3" max="16384" width="11.5546875" style="5"/>
  </cols>
  <sheetData>
    <row r="1" spans="1:5" x14ac:dyDescent="0.25">
      <c r="A1" s="8" t="s">
        <v>22</v>
      </c>
      <c r="B1" s="9" t="s">
        <v>187</v>
      </c>
      <c r="D1" s="8"/>
    </row>
    <row r="2" spans="1:5" ht="41.25" customHeight="1" x14ac:dyDescent="0.25">
      <c r="A2" s="118" t="s">
        <v>23</v>
      </c>
      <c r="B2" s="18" t="s">
        <v>16</v>
      </c>
      <c r="C2" s="18" t="s">
        <v>14</v>
      </c>
      <c r="D2" s="117" t="s">
        <v>15</v>
      </c>
      <c r="E2" s="112"/>
    </row>
    <row r="3" spans="1:5" x14ac:dyDescent="0.25">
      <c r="A3" s="96" t="s">
        <v>182</v>
      </c>
      <c r="B3" s="30">
        <v>93.21</v>
      </c>
      <c r="C3" s="29">
        <v>6.33</v>
      </c>
      <c r="D3" s="113">
        <v>0.45</v>
      </c>
    </row>
    <row r="4" spans="1:5" x14ac:dyDescent="0.25">
      <c r="A4" s="96" t="s">
        <v>65</v>
      </c>
      <c r="B4" s="30">
        <v>88.8</v>
      </c>
      <c r="C4" s="29">
        <v>10.6</v>
      </c>
      <c r="D4" s="113">
        <v>0.6</v>
      </c>
    </row>
    <row r="5" spans="1:5" x14ac:dyDescent="0.25">
      <c r="A5" s="96" t="s">
        <v>64</v>
      </c>
      <c r="B5" s="30">
        <v>83</v>
      </c>
      <c r="C5" s="29">
        <v>16.600000000000001</v>
      </c>
      <c r="D5" s="113">
        <v>0.4</v>
      </c>
    </row>
    <row r="6" spans="1:5" x14ac:dyDescent="0.25">
      <c r="A6" s="96" t="s">
        <v>63</v>
      </c>
      <c r="B6" s="30">
        <v>78.8</v>
      </c>
      <c r="C6" s="29">
        <v>20.9</v>
      </c>
      <c r="D6" s="113">
        <v>0.4</v>
      </c>
    </row>
    <row r="7" spans="1:5" x14ac:dyDescent="0.25">
      <c r="A7" s="96" t="s">
        <v>8</v>
      </c>
      <c r="B7" s="30">
        <v>55.7</v>
      </c>
      <c r="C7" s="29">
        <v>43.3</v>
      </c>
      <c r="D7" s="113">
        <v>1</v>
      </c>
    </row>
    <row r="8" spans="1:5" x14ac:dyDescent="0.25">
      <c r="A8" s="96" t="s">
        <v>62</v>
      </c>
      <c r="B8" s="30">
        <v>53.7</v>
      </c>
      <c r="C8" s="29">
        <v>45.7</v>
      </c>
      <c r="D8" s="113">
        <v>0.6</v>
      </c>
    </row>
    <row r="9" spans="1:5" x14ac:dyDescent="0.25">
      <c r="A9" s="96" t="s">
        <v>61</v>
      </c>
      <c r="B9" s="30">
        <v>40.4</v>
      </c>
      <c r="C9" s="29">
        <v>59</v>
      </c>
      <c r="D9" s="113">
        <v>0.6</v>
      </c>
    </row>
    <row r="10" spans="1:5" x14ac:dyDescent="0.25">
      <c r="A10" s="96" t="s">
        <v>60</v>
      </c>
      <c r="B10" s="30">
        <v>40</v>
      </c>
      <c r="C10" s="29">
        <v>59.4</v>
      </c>
      <c r="D10" s="113">
        <v>0.5</v>
      </c>
    </row>
    <row r="11" spans="1:5" x14ac:dyDescent="0.25">
      <c r="A11" s="96" t="s">
        <v>17</v>
      </c>
      <c r="B11" s="30">
        <v>34.5</v>
      </c>
      <c r="C11" s="29">
        <v>64.8</v>
      </c>
      <c r="D11" s="113">
        <v>0.8</v>
      </c>
    </row>
    <row r="12" spans="1:5" x14ac:dyDescent="0.25">
      <c r="A12" s="96" t="s">
        <v>181</v>
      </c>
      <c r="B12" s="30">
        <v>16.100000000000001</v>
      </c>
      <c r="C12" s="29">
        <v>82.8</v>
      </c>
      <c r="D12" s="113">
        <v>1.1000000000000001</v>
      </c>
    </row>
    <row r="13" spans="1:5" x14ac:dyDescent="0.25">
      <c r="A13" s="96" t="s">
        <v>180</v>
      </c>
      <c r="B13" s="30">
        <v>11.3</v>
      </c>
      <c r="C13" s="29">
        <v>88.2</v>
      </c>
      <c r="D13" s="113">
        <v>0.5</v>
      </c>
    </row>
    <row r="14" spans="1:5" x14ac:dyDescent="0.25">
      <c r="A14" s="97" t="s">
        <v>59</v>
      </c>
      <c r="B14" s="114">
        <v>9.5</v>
      </c>
      <c r="C14" s="115">
        <v>90.2</v>
      </c>
      <c r="D14" s="116">
        <v>0.3</v>
      </c>
    </row>
    <row r="15" spans="1:5" ht="21.75" customHeight="1"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554E7-F49F-4F0F-A096-4EE0B0516104}">
  <dimension ref="A1:P32"/>
  <sheetViews>
    <sheetView zoomScaleNormal="100" workbookViewId="0"/>
  </sheetViews>
  <sheetFormatPr baseColWidth="10" defaultColWidth="22.77734375" defaultRowHeight="13.8" x14ac:dyDescent="0.3"/>
  <cols>
    <col min="1" max="1" width="42.44140625" style="119" customWidth="1"/>
    <col min="2" max="2" width="14.44140625" style="119" customWidth="1"/>
    <col min="3" max="3" width="15.21875" style="119" bestFit="1" customWidth="1"/>
    <col min="4" max="4" width="21.109375" style="119" bestFit="1" customWidth="1"/>
    <col min="5" max="5" width="9.6640625" style="119" bestFit="1" customWidth="1"/>
    <col min="6" max="6" width="11.6640625" style="119" bestFit="1" customWidth="1"/>
    <col min="7" max="7" width="13.44140625" style="119" bestFit="1" customWidth="1"/>
    <col min="8" max="8" width="13.5546875" style="119" bestFit="1" customWidth="1"/>
    <col min="9" max="9" width="6.21875" style="119" bestFit="1" customWidth="1"/>
    <col min="10" max="10" width="15.77734375" style="119" bestFit="1" customWidth="1"/>
    <col min="11" max="11" width="13.44140625" style="119" bestFit="1" customWidth="1"/>
    <col min="12" max="12" width="13.5546875" style="119" bestFit="1" customWidth="1"/>
    <col min="13" max="13" width="8.21875" style="119" bestFit="1" customWidth="1"/>
    <col min="14" max="14" width="15.77734375" style="119" customWidth="1"/>
    <col min="15" max="15" width="13.44140625" style="119" bestFit="1" customWidth="1"/>
    <col min="16" max="16" width="13.5546875" style="119" bestFit="1" customWidth="1"/>
    <col min="17" max="16384" width="22.77734375" style="119"/>
  </cols>
  <sheetData>
    <row r="1" spans="1:16" x14ac:dyDescent="0.3">
      <c r="A1" s="8" t="s">
        <v>24</v>
      </c>
      <c r="B1" s="8" t="s">
        <v>139</v>
      </c>
      <c r="C1" s="8"/>
      <c r="D1" s="8"/>
      <c r="E1" s="5"/>
      <c r="F1" s="8"/>
      <c r="G1" s="5"/>
      <c r="H1" s="5"/>
      <c r="I1" s="5"/>
      <c r="J1" s="5"/>
      <c r="K1" s="5"/>
      <c r="L1" s="5"/>
      <c r="M1" s="5"/>
      <c r="N1" s="5"/>
      <c r="O1" s="5"/>
      <c r="P1" s="5"/>
    </row>
    <row r="2" spans="1:16" ht="52.8" x14ac:dyDescent="0.3">
      <c r="A2" s="118" t="s">
        <v>31</v>
      </c>
      <c r="B2" s="19" t="s">
        <v>32</v>
      </c>
      <c r="C2" s="19" t="s">
        <v>53</v>
      </c>
      <c r="D2" s="19" t="s">
        <v>52</v>
      </c>
      <c r="E2" s="32" t="s">
        <v>43</v>
      </c>
      <c r="F2" s="19" t="s">
        <v>54</v>
      </c>
      <c r="G2" s="19" t="s">
        <v>37</v>
      </c>
      <c r="H2" s="20" t="s">
        <v>38</v>
      </c>
      <c r="I2" s="32" t="s">
        <v>42</v>
      </c>
      <c r="J2" s="19" t="s">
        <v>55</v>
      </c>
      <c r="K2" s="19" t="s">
        <v>37</v>
      </c>
      <c r="L2" s="20" t="s">
        <v>38</v>
      </c>
      <c r="M2" s="19" t="s">
        <v>41</v>
      </c>
      <c r="N2" s="19" t="s">
        <v>57</v>
      </c>
      <c r="O2" s="19" t="s">
        <v>37</v>
      </c>
      <c r="P2" s="20" t="s">
        <v>38</v>
      </c>
    </row>
    <row r="3" spans="1:16" x14ac:dyDescent="0.3">
      <c r="A3" s="93" t="s">
        <v>44</v>
      </c>
      <c r="B3" s="94">
        <v>2546</v>
      </c>
      <c r="C3" s="94">
        <v>267488</v>
      </c>
      <c r="D3" s="94">
        <v>265146</v>
      </c>
      <c r="E3" s="102">
        <v>2082</v>
      </c>
      <c r="F3" s="148">
        <f t="shared" ref="F3:F14" si="0">E3/D3*10000</f>
        <v>78.522776130886385</v>
      </c>
      <c r="G3" s="148">
        <f t="shared" ref="G3:G14" si="1">((SUMSQ((1.96/2)-SQRT(E3+0.02)))/D3)*10000</f>
        <v>75.186774516836664</v>
      </c>
      <c r="H3" s="25">
        <f t="shared" ref="H3:H14" si="2">(((SUMSQ((1.96/2)+SQRT(E3+0.96)))/D3))*10000</f>
        <v>81.968942958331809</v>
      </c>
      <c r="I3" s="100">
        <v>420</v>
      </c>
      <c r="J3" s="95">
        <f t="shared" ref="J3:J14" si="3">I3/C3*10000</f>
        <v>15.701638952027755</v>
      </c>
      <c r="K3" s="95">
        <f t="shared" ref="K3:K14" si="4">((SUMSQ((1.96/2)-SQRT(I3+0.02)))/C3)*10000</f>
        <v>14.236578711073095</v>
      </c>
      <c r="L3" s="101">
        <f t="shared" ref="L3:L14" si="5">(((SUMSQ((1.96/2)+SQRT(I3+0.96)))/C3))*10000</f>
        <v>17.2768246478248</v>
      </c>
      <c r="M3" s="100">
        <v>44</v>
      </c>
      <c r="N3" s="95">
        <f t="shared" ref="N3:N14" si="6">M3/C3*10000</f>
        <v>1.6449336044981457</v>
      </c>
      <c r="O3" s="95">
        <f t="shared" ref="O3:O14" si="7">((SUMSQ((1.96/2)-SQRT(M3+0.02)))/C3)*10000</f>
        <v>1.1954284433816726</v>
      </c>
      <c r="P3" s="101">
        <f t="shared" ref="P3:P14" si="8">(((SUMSQ((1.96/2)+SQRT(M3+0.96)))/C3))*10000</f>
        <v>2.2080480177639492</v>
      </c>
    </row>
    <row r="4" spans="1:16" x14ac:dyDescent="0.3">
      <c r="A4" s="96" t="s">
        <v>56</v>
      </c>
      <c r="B4" s="16">
        <v>2108</v>
      </c>
      <c r="C4" s="16">
        <v>267488</v>
      </c>
      <c r="D4" s="16">
        <v>265146</v>
      </c>
      <c r="E4" s="102">
        <v>586</v>
      </c>
      <c r="F4" s="148">
        <f t="shared" si="0"/>
        <v>22.101031130018931</v>
      </c>
      <c r="G4" s="148">
        <f t="shared" si="1"/>
        <v>20.348525494093185</v>
      </c>
      <c r="H4" s="25">
        <f t="shared" si="2"/>
        <v>23.964375267153144</v>
      </c>
      <c r="I4" s="102">
        <v>1459</v>
      </c>
      <c r="J4" s="148">
        <f t="shared" si="3"/>
        <v>54.544502930972605</v>
      </c>
      <c r="K4" s="148">
        <f t="shared" si="4"/>
        <v>51.782287212577785</v>
      </c>
      <c r="L4" s="25">
        <f t="shared" si="5"/>
        <v>57.416066101144452</v>
      </c>
      <c r="M4" s="102">
        <v>63</v>
      </c>
      <c r="N4" s="148">
        <f t="shared" si="6"/>
        <v>2.3552458428041634</v>
      </c>
      <c r="O4" s="148">
        <f t="shared" si="7"/>
        <v>1.8102087988620188</v>
      </c>
      <c r="P4" s="25">
        <f t="shared" si="8"/>
        <v>3.0130510241257795</v>
      </c>
    </row>
    <row r="5" spans="1:16" x14ac:dyDescent="0.3">
      <c r="A5" s="96" t="s">
        <v>46</v>
      </c>
      <c r="B5" s="16">
        <v>1881</v>
      </c>
      <c r="C5" s="16">
        <v>267488</v>
      </c>
      <c r="D5" s="16">
        <v>265146</v>
      </c>
      <c r="E5" s="102">
        <v>1556</v>
      </c>
      <c r="F5" s="148">
        <f t="shared" si="0"/>
        <v>58.684649212132179</v>
      </c>
      <c r="G5" s="148">
        <f t="shared" si="1"/>
        <v>55.805685096606176</v>
      </c>
      <c r="H5" s="25">
        <f t="shared" si="2"/>
        <v>61.673897837741791</v>
      </c>
      <c r="I5" s="102">
        <v>296</v>
      </c>
      <c r="J5" s="148">
        <f t="shared" si="3"/>
        <v>11.065916975714797</v>
      </c>
      <c r="K5" s="148">
        <f t="shared" si="4"/>
        <v>9.8418675135174727</v>
      </c>
      <c r="L5" s="25">
        <f t="shared" si="5"/>
        <v>12.400412492162177</v>
      </c>
      <c r="M5" s="102">
        <v>29</v>
      </c>
      <c r="N5" s="148">
        <f t="shared" si="6"/>
        <v>1.0841607847828687</v>
      </c>
      <c r="O5" s="148">
        <f t="shared" si="7"/>
        <v>0.7260825897495955</v>
      </c>
      <c r="P5" s="25">
        <f t="shared" si="8"/>
        <v>1.5570269631455893</v>
      </c>
    </row>
    <row r="6" spans="1:16" x14ac:dyDescent="0.3">
      <c r="A6" s="96" t="s">
        <v>47</v>
      </c>
      <c r="B6" s="16">
        <v>1633</v>
      </c>
      <c r="C6" s="16">
        <v>267488</v>
      </c>
      <c r="D6" s="16">
        <v>265146</v>
      </c>
      <c r="E6" s="102">
        <v>1365</v>
      </c>
      <c r="F6" s="148">
        <f t="shared" si="0"/>
        <v>51.481070806272776</v>
      </c>
      <c r="G6" s="148">
        <f t="shared" si="1"/>
        <v>48.786928444899374</v>
      </c>
      <c r="H6" s="25">
        <f t="shared" si="2"/>
        <v>54.285557252657938</v>
      </c>
      <c r="I6" s="102">
        <v>241</v>
      </c>
      <c r="J6" s="148">
        <f t="shared" si="3"/>
        <v>9.0097499700921162</v>
      </c>
      <c r="K6" s="148">
        <f t="shared" si="4"/>
        <v>7.9088316139241925</v>
      </c>
      <c r="L6" s="25">
        <f t="shared" si="5"/>
        <v>10.221330468252409</v>
      </c>
      <c r="M6" s="102">
        <v>27</v>
      </c>
      <c r="N6" s="148">
        <f t="shared" si="6"/>
        <v>1.0093910754874984</v>
      </c>
      <c r="O6" s="148">
        <f t="shared" si="7"/>
        <v>0.66515768662520403</v>
      </c>
      <c r="P6" s="25">
        <f t="shared" si="8"/>
        <v>1.4686391310286593</v>
      </c>
    </row>
    <row r="7" spans="1:16" x14ac:dyDescent="0.3">
      <c r="A7" s="96" t="s">
        <v>48</v>
      </c>
      <c r="B7" s="16">
        <v>1113</v>
      </c>
      <c r="C7" s="16">
        <v>267488</v>
      </c>
      <c r="D7" s="16">
        <v>265146</v>
      </c>
      <c r="E7" s="102">
        <v>455</v>
      </c>
      <c r="F7" s="148">
        <f t="shared" si="0"/>
        <v>17.160356935424257</v>
      </c>
      <c r="G7" s="148">
        <f t="shared" si="1"/>
        <v>15.620497849970562</v>
      </c>
      <c r="H7" s="25">
        <f t="shared" si="2"/>
        <v>18.81124780307881</v>
      </c>
      <c r="I7" s="102">
        <v>636</v>
      </c>
      <c r="J7" s="148">
        <f t="shared" si="3"/>
        <v>23.776767555927741</v>
      </c>
      <c r="K7" s="148">
        <f t="shared" si="4"/>
        <v>21.965482697575791</v>
      </c>
      <c r="L7" s="25">
        <f t="shared" si="5"/>
        <v>25.697863467311926</v>
      </c>
      <c r="M7" s="102">
        <v>22</v>
      </c>
      <c r="N7" s="148">
        <f t="shared" si="6"/>
        <v>0.82246680224907287</v>
      </c>
      <c r="O7" s="148">
        <f t="shared" si="7"/>
        <v>0.5152757254899788</v>
      </c>
      <c r="P7" s="25">
        <f t="shared" si="8"/>
        <v>1.2453662393736309</v>
      </c>
    </row>
    <row r="8" spans="1:16" x14ac:dyDescent="0.3">
      <c r="A8" s="96" t="s">
        <v>49</v>
      </c>
      <c r="B8" s="16">
        <v>725</v>
      </c>
      <c r="C8" s="16">
        <v>267488</v>
      </c>
      <c r="D8" s="16">
        <v>265146</v>
      </c>
      <c r="E8" s="102">
        <v>660</v>
      </c>
      <c r="F8" s="148">
        <f t="shared" si="0"/>
        <v>24.891946323912109</v>
      </c>
      <c r="G8" s="148">
        <f t="shared" si="1"/>
        <v>23.029814719756178</v>
      </c>
      <c r="H8" s="25">
        <f t="shared" si="2"/>
        <v>26.86483367623115</v>
      </c>
      <c r="I8" s="102">
        <v>60</v>
      </c>
      <c r="J8" s="148">
        <f t="shared" si="3"/>
        <v>2.2430912788611077</v>
      </c>
      <c r="K8" s="148">
        <f t="shared" si="4"/>
        <v>1.7120683972579966</v>
      </c>
      <c r="L8" s="25">
        <f t="shared" si="5"/>
        <v>2.8869881824986319</v>
      </c>
      <c r="M8" s="102">
        <v>5</v>
      </c>
      <c r="N8" s="148">
        <f t="shared" si="6"/>
        <v>0.18692427323842564</v>
      </c>
      <c r="O8" s="148">
        <f t="shared" si="7"/>
        <v>5.9402669485285928E-2</v>
      </c>
      <c r="P8" s="25">
        <f t="shared" si="8"/>
        <v>0.43760354862153111</v>
      </c>
    </row>
    <row r="9" spans="1:16" x14ac:dyDescent="0.3">
      <c r="A9" s="96" t="s">
        <v>50</v>
      </c>
      <c r="B9" s="16">
        <v>557</v>
      </c>
      <c r="C9" s="16">
        <v>267488</v>
      </c>
      <c r="D9" s="16">
        <v>265146</v>
      </c>
      <c r="E9" s="102">
        <v>387</v>
      </c>
      <c r="F9" s="148">
        <f t="shared" si="0"/>
        <v>14.595732162657555</v>
      </c>
      <c r="G9" s="148">
        <f t="shared" si="1"/>
        <v>13.178462626854014</v>
      </c>
      <c r="H9" s="25">
        <f t="shared" si="2"/>
        <v>16.124170549556236</v>
      </c>
      <c r="I9" s="102">
        <v>154</v>
      </c>
      <c r="J9" s="148">
        <f t="shared" si="3"/>
        <v>5.7572676157435101</v>
      </c>
      <c r="K9" s="148">
        <f t="shared" si="4"/>
        <v>4.8845503458893385</v>
      </c>
      <c r="L9" s="25">
        <f t="shared" si="5"/>
        <v>6.7412016385454923</v>
      </c>
      <c r="M9" s="102">
        <v>16</v>
      </c>
      <c r="N9" s="148">
        <f t="shared" si="6"/>
        <v>0.59815767436296208</v>
      </c>
      <c r="O9" s="148">
        <f t="shared" si="7"/>
        <v>0.34152939684373568</v>
      </c>
      <c r="P9" s="25">
        <f t="shared" si="8"/>
        <v>0.97171364810884264</v>
      </c>
    </row>
    <row r="10" spans="1:16" x14ac:dyDescent="0.3">
      <c r="A10" s="96" t="s">
        <v>179</v>
      </c>
      <c r="B10" s="16">
        <v>379</v>
      </c>
      <c r="C10" s="16">
        <v>267488</v>
      </c>
      <c r="D10" s="16">
        <v>265146</v>
      </c>
      <c r="E10" s="102">
        <v>267</v>
      </c>
      <c r="F10" s="148">
        <f t="shared" si="0"/>
        <v>10.069923740128081</v>
      </c>
      <c r="G10" s="148">
        <f t="shared" si="1"/>
        <v>8.8989664800049688</v>
      </c>
      <c r="H10" s="25">
        <f t="shared" si="2"/>
        <v>11.35240917288121</v>
      </c>
      <c r="I10" s="102">
        <v>107</v>
      </c>
      <c r="J10" s="148">
        <f t="shared" si="3"/>
        <v>4.0001794473023091</v>
      </c>
      <c r="K10" s="148">
        <f t="shared" si="4"/>
        <v>3.2788053160048212</v>
      </c>
      <c r="L10" s="25">
        <f t="shared" si="5"/>
        <v>4.8333213125794545</v>
      </c>
      <c r="M10" s="102">
        <v>5</v>
      </c>
      <c r="N10" s="148">
        <f t="shared" si="6"/>
        <v>0.18692427323842564</v>
      </c>
      <c r="O10" s="148">
        <f t="shared" si="7"/>
        <v>5.9402669485285928E-2</v>
      </c>
      <c r="P10" s="25">
        <f t="shared" si="8"/>
        <v>0.43760354862153111</v>
      </c>
    </row>
    <row r="11" spans="1:16" ht="14.25" customHeight="1" x14ac:dyDescent="0.3">
      <c r="A11" s="96" t="s">
        <v>178</v>
      </c>
      <c r="B11" s="16">
        <v>221</v>
      </c>
      <c r="C11" s="16">
        <v>267488</v>
      </c>
      <c r="D11" s="16">
        <v>265146</v>
      </c>
      <c r="E11" s="102">
        <v>61</v>
      </c>
      <c r="F11" s="148">
        <f t="shared" si="0"/>
        <v>2.3006192814524828</v>
      </c>
      <c r="G11" s="148">
        <f t="shared" si="1"/>
        <v>1.7601548323580654</v>
      </c>
      <c r="H11" s="25">
        <f t="shared" si="2"/>
        <v>2.9549182799234037</v>
      </c>
      <c r="I11" s="102">
        <v>153</v>
      </c>
      <c r="J11" s="148">
        <f t="shared" si="3"/>
        <v>5.7198827610958256</v>
      </c>
      <c r="K11" s="148">
        <f t="shared" si="4"/>
        <v>4.8501224132321594</v>
      </c>
      <c r="L11" s="25">
        <f t="shared" si="5"/>
        <v>6.7008688731822712</v>
      </c>
      <c r="M11" s="102">
        <v>7</v>
      </c>
      <c r="N11" s="148">
        <f t="shared" si="6"/>
        <v>0.26169398253379589</v>
      </c>
      <c r="O11" s="148">
        <f t="shared" si="7"/>
        <v>0.10420372542316762</v>
      </c>
      <c r="P11" s="25">
        <f t="shared" si="8"/>
        <v>0.54022014086721748</v>
      </c>
    </row>
    <row r="12" spans="1:16" x14ac:dyDescent="0.3">
      <c r="A12" s="96" t="s">
        <v>177</v>
      </c>
      <c r="B12" s="16">
        <v>189</v>
      </c>
      <c r="C12" s="16">
        <v>267488</v>
      </c>
      <c r="D12" s="16">
        <v>265146</v>
      </c>
      <c r="E12" s="102">
        <v>158</v>
      </c>
      <c r="F12" s="148">
        <f t="shared" si="0"/>
        <v>5.9589810896638085</v>
      </c>
      <c r="G12" s="148">
        <f t="shared" si="1"/>
        <v>5.0667188183382192</v>
      </c>
      <c r="H12" s="25">
        <f t="shared" si="2"/>
        <v>6.9634069780256915</v>
      </c>
      <c r="I12" s="102">
        <v>27</v>
      </c>
      <c r="J12" s="148">
        <f t="shared" si="3"/>
        <v>1.0093910754874984</v>
      </c>
      <c r="K12" s="148">
        <f t="shared" si="4"/>
        <v>0.66515768662520403</v>
      </c>
      <c r="L12" s="25">
        <f t="shared" si="5"/>
        <v>1.4686391310286593</v>
      </c>
      <c r="M12" s="102">
        <v>4</v>
      </c>
      <c r="N12" s="148">
        <f t="shared" si="6"/>
        <v>0.14953941859074052</v>
      </c>
      <c r="O12" s="148">
        <f t="shared" si="7"/>
        <v>3.9276985115981634E-2</v>
      </c>
      <c r="P12" s="25">
        <f t="shared" si="8"/>
        <v>0.38452294160705291</v>
      </c>
    </row>
    <row r="13" spans="1:16" x14ac:dyDescent="0.3">
      <c r="A13" s="96" t="s">
        <v>51</v>
      </c>
      <c r="B13" s="16">
        <v>162</v>
      </c>
      <c r="C13" s="16">
        <v>267488</v>
      </c>
      <c r="D13" s="16">
        <v>265146</v>
      </c>
      <c r="E13" s="102">
        <v>118</v>
      </c>
      <c r="F13" s="148">
        <f t="shared" si="0"/>
        <v>4.4503782821539826</v>
      </c>
      <c r="G13" s="148">
        <f t="shared" si="1"/>
        <v>3.6842926533850977</v>
      </c>
      <c r="H13" s="25">
        <f t="shared" si="2"/>
        <v>5.3290595364273114</v>
      </c>
      <c r="I13" s="102">
        <v>37</v>
      </c>
      <c r="J13" s="148">
        <f t="shared" si="3"/>
        <v>1.3832396219643497</v>
      </c>
      <c r="K13" s="148">
        <f t="shared" si="4"/>
        <v>0.97406102912212178</v>
      </c>
      <c r="L13" s="25">
        <f t="shared" si="5"/>
        <v>1.9064889150835742</v>
      </c>
      <c r="M13" s="102">
        <v>7</v>
      </c>
      <c r="N13" s="148">
        <f t="shared" si="6"/>
        <v>0.26169398253379589</v>
      </c>
      <c r="O13" s="148">
        <f t="shared" si="7"/>
        <v>0.10420372542316762</v>
      </c>
      <c r="P13" s="25">
        <f t="shared" si="8"/>
        <v>0.54022014086721748</v>
      </c>
    </row>
    <row r="14" spans="1:16" x14ac:dyDescent="0.3">
      <c r="A14" s="97" t="s">
        <v>176</v>
      </c>
      <c r="B14" s="89">
        <v>92</v>
      </c>
      <c r="C14" s="89">
        <v>267488</v>
      </c>
      <c r="D14" s="89">
        <v>265146</v>
      </c>
      <c r="E14" s="91">
        <v>72</v>
      </c>
      <c r="F14" s="98">
        <f t="shared" si="0"/>
        <v>2.7154850535176847</v>
      </c>
      <c r="G14" s="98">
        <f t="shared" si="1"/>
        <v>2.1251287511305739</v>
      </c>
      <c r="H14" s="103">
        <f t="shared" si="2"/>
        <v>3.4193259072052795</v>
      </c>
      <c r="I14" s="91">
        <v>19</v>
      </c>
      <c r="J14" s="98">
        <f t="shared" si="3"/>
        <v>0.71031223830601753</v>
      </c>
      <c r="K14" s="98">
        <f t="shared" si="4"/>
        <v>0.4274009564898702</v>
      </c>
      <c r="L14" s="103">
        <f t="shared" si="5"/>
        <v>1.1094709556408497</v>
      </c>
      <c r="M14" s="91">
        <v>1</v>
      </c>
      <c r="N14" s="98">
        <f t="shared" si="6"/>
        <v>3.738485464768513E-2</v>
      </c>
      <c r="O14" s="98">
        <f t="shared" si="7"/>
        <v>3.3535413963718905E-5</v>
      </c>
      <c r="P14" s="103">
        <f t="shared" si="8"/>
        <v>0.21176277066634763</v>
      </c>
    </row>
    <row r="15" spans="1:16" x14ac:dyDescent="0.3">
      <c r="F15" s="121"/>
    </row>
    <row r="20" spans="1:2" x14ac:dyDescent="0.3">
      <c r="A20" s="122"/>
    </row>
    <row r="21" spans="1:2" x14ac:dyDescent="0.3">
      <c r="A21" s="120"/>
    </row>
    <row r="22" spans="1:2" x14ac:dyDescent="0.3">
      <c r="A22" s="120"/>
    </row>
    <row r="23" spans="1:2" x14ac:dyDescent="0.3">
      <c r="A23" s="120"/>
    </row>
    <row r="24" spans="1:2" x14ac:dyDescent="0.3">
      <c r="A24" s="120"/>
    </row>
    <row r="25" spans="1:2" x14ac:dyDescent="0.3">
      <c r="A25" s="120"/>
    </row>
    <row r="26" spans="1:2" x14ac:dyDescent="0.3">
      <c r="A26" s="120"/>
    </row>
    <row r="27" spans="1:2" x14ac:dyDescent="0.3">
      <c r="A27" s="120"/>
    </row>
    <row r="28" spans="1:2" x14ac:dyDescent="0.3">
      <c r="A28" s="120"/>
      <c r="B28" s="119" t="s">
        <v>194</v>
      </c>
    </row>
    <row r="29" spans="1:2" x14ac:dyDescent="0.3">
      <c r="A29" s="120"/>
    </row>
    <row r="30" spans="1:2" x14ac:dyDescent="0.3">
      <c r="A30" s="120"/>
    </row>
    <row r="31" spans="1:2" x14ac:dyDescent="0.3">
      <c r="A31" s="120"/>
    </row>
    <row r="32" spans="1:2" x14ac:dyDescent="0.3">
      <c r="A32" s="123"/>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
  <sheetViews>
    <sheetView zoomScaleNormal="100" workbookViewId="0"/>
  </sheetViews>
  <sheetFormatPr baseColWidth="10" defaultColWidth="11.5546875" defaultRowHeight="13.2" x14ac:dyDescent="0.25"/>
  <cols>
    <col min="1" max="1" width="18.6640625" style="5" bestFit="1" customWidth="1"/>
    <col min="2" max="2" width="12.21875" style="5" customWidth="1"/>
    <col min="3" max="3" width="12.33203125" style="5" bestFit="1" customWidth="1"/>
    <col min="4" max="4" width="16" style="5" bestFit="1" customWidth="1"/>
    <col min="5" max="5" width="14.21875" style="5" bestFit="1" customWidth="1"/>
    <col min="6" max="6" width="14.44140625" style="5" bestFit="1" customWidth="1"/>
    <col min="7" max="7" width="13.33203125" style="5" bestFit="1" customWidth="1"/>
    <col min="8" max="8" width="12.5546875" style="5" bestFit="1" customWidth="1"/>
    <col min="9" max="9" width="12.77734375" style="5" customWidth="1"/>
    <col min="10" max="10" width="14.44140625" style="5" bestFit="1" customWidth="1"/>
    <col min="11" max="11" width="17" style="5" bestFit="1" customWidth="1"/>
    <col min="12" max="12" width="12.5546875" style="5" bestFit="1" customWidth="1"/>
    <col min="13" max="13" width="14.21875" style="5" bestFit="1" customWidth="1"/>
    <col min="14" max="14" width="14.44140625" style="5" bestFit="1" customWidth="1"/>
    <col min="15" max="16384" width="11.5546875" style="5"/>
  </cols>
  <sheetData>
    <row r="1" spans="1:15" ht="21" customHeight="1" x14ac:dyDescent="0.25">
      <c r="A1" s="14" t="s">
        <v>137</v>
      </c>
      <c r="B1" s="14" t="s">
        <v>183</v>
      </c>
      <c r="C1" s="104"/>
      <c r="D1" s="104"/>
      <c r="E1" s="104"/>
      <c r="F1" s="104"/>
      <c r="G1" s="104"/>
      <c r="H1" s="14"/>
      <c r="I1" s="14"/>
      <c r="J1" s="104"/>
      <c r="K1" s="104"/>
      <c r="L1" s="104"/>
      <c r="M1" s="104"/>
      <c r="N1" s="104"/>
    </row>
    <row r="2" spans="1:15" s="21" customFormat="1" ht="66.75" customHeight="1" x14ac:dyDescent="0.25">
      <c r="A2" s="151" t="s">
        <v>67</v>
      </c>
      <c r="B2" s="19" t="s">
        <v>32</v>
      </c>
      <c r="C2" s="19" t="s">
        <v>7</v>
      </c>
      <c r="D2" s="19" t="s">
        <v>36</v>
      </c>
      <c r="E2" s="19" t="s">
        <v>37</v>
      </c>
      <c r="F2" s="20" t="s">
        <v>38</v>
      </c>
      <c r="G2" s="152" t="s">
        <v>34</v>
      </c>
      <c r="H2" s="153" t="s">
        <v>39</v>
      </c>
      <c r="I2" s="153" t="s">
        <v>37</v>
      </c>
      <c r="J2" s="154" t="s">
        <v>38</v>
      </c>
      <c r="K2" s="155" t="s">
        <v>33</v>
      </c>
      <c r="L2" s="155" t="s">
        <v>40</v>
      </c>
      <c r="M2" s="155" t="s">
        <v>37</v>
      </c>
      <c r="N2" s="156" t="s">
        <v>38</v>
      </c>
      <c r="O2" s="29"/>
    </row>
    <row r="3" spans="1:15" s="29" customFormat="1" x14ac:dyDescent="0.25">
      <c r="A3" s="38" t="s">
        <v>12</v>
      </c>
      <c r="B3" s="124">
        <v>1177</v>
      </c>
      <c r="C3" s="124">
        <v>35466</v>
      </c>
      <c r="D3" s="125">
        <f>B3/C3*10000</f>
        <v>331.86714035978122</v>
      </c>
      <c r="E3" s="125">
        <f>((SUMSQ((1.96/2)-SQRT(B3+0.02)))/C3)*10000</f>
        <v>313.18368545872369</v>
      </c>
      <c r="F3" s="126">
        <f>(((SUMSQ((1.96/2)+SQRT(B3+0.96)))/C3))*10000</f>
        <v>351.37607480083921</v>
      </c>
      <c r="G3" s="127">
        <v>146</v>
      </c>
      <c r="H3" s="128">
        <f>G3/C3*10000</f>
        <v>41.166187334348386</v>
      </c>
      <c r="I3" s="128">
        <f>((SUMSQ((1.96/2)-SQRT(G3+0.02)))/C3)*10000</f>
        <v>34.764565454170416</v>
      </c>
      <c r="J3" s="129">
        <f>(((SUMSQ((1.96/2)+SQRT(G3+0.96)))/C3))*10000</f>
        <v>48.407179749158253</v>
      </c>
      <c r="K3" s="130">
        <v>1032</v>
      </c>
      <c r="L3" s="131">
        <f>K3/C3*10000</f>
        <v>290.98291321265435</v>
      </c>
      <c r="M3" s="131">
        <f>((SUMSQ((1.96/2)-SQRT(K3+0.02)))/C3)*10000</f>
        <v>273.50568616057814</v>
      </c>
      <c r="N3" s="132">
        <f>(((SUMSQ((1.96/2)+SQRT(K3+0.96)))/C3))*10000</f>
        <v>309.28613386393152</v>
      </c>
    </row>
    <row r="4" spans="1:15" s="29" customFormat="1" x14ac:dyDescent="0.25">
      <c r="A4" s="45" t="s">
        <v>13</v>
      </c>
      <c r="B4" s="29">
        <v>2149</v>
      </c>
      <c r="C4" s="29">
        <v>68164</v>
      </c>
      <c r="D4" s="30">
        <f t="shared" ref="D4:D7" si="0">B4/C4*10000</f>
        <v>315.26905698022421</v>
      </c>
      <c r="E4" s="30">
        <f t="shared" ref="E4:E7" si="1">((SUMSQ((1.96/2)-SQRT(B4+0.02)))/C4)*10000</f>
        <v>302.08316026407209</v>
      </c>
      <c r="F4" s="82">
        <f t="shared" ref="F4:F7" si="2">(((SUMSQ((1.96/2)+SQRT(B4+0.96)))/C4))*10000</f>
        <v>328.88343052681535</v>
      </c>
      <c r="G4" s="133">
        <v>294</v>
      </c>
      <c r="H4" s="134">
        <f t="shared" ref="H4:H7" si="3">G4/C4*10000</f>
        <v>43.131271638988316</v>
      </c>
      <c r="I4" s="134">
        <f t="shared" ref="I4:I7" si="4">((SUMSQ((1.96/2)-SQRT(G4+0.02)))/C4)*10000</f>
        <v>38.344618516114259</v>
      </c>
      <c r="J4" s="135">
        <f t="shared" ref="J4:J7" si="5">(((SUMSQ((1.96/2)+SQRT(G4+0.96)))/C4))*10000</f>
        <v>48.351361880689609</v>
      </c>
      <c r="K4" s="136">
        <v>1855</v>
      </c>
      <c r="L4" s="137">
        <f t="shared" ref="L4:L7" si="6">K4/C4*10000</f>
        <v>272.13778534123583</v>
      </c>
      <c r="M4" s="137">
        <f t="shared" ref="M4:M7" si="7">((SUMSQ((1.96/2)-SQRT(K4+0.02)))/C4)*10000</f>
        <v>259.89720548867325</v>
      </c>
      <c r="N4" s="138">
        <f t="shared" ref="N4:N7" si="8">(((SUMSQ((1.96/2)+SQRT(K4+0.96)))/C4))*10000</f>
        <v>284.80706447154057</v>
      </c>
    </row>
    <row r="5" spans="1:15" s="29" customFormat="1" x14ac:dyDescent="0.25">
      <c r="A5" s="45" t="s">
        <v>9</v>
      </c>
      <c r="B5" s="29">
        <v>3037</v>
      </c>
      <c r="C5" s="29">
        <v>93594</v>
      </c>
      <c r="D5" s="30">
        <f t="shared" si="0"/>
        <v>324.48661238968305</v>
      </c>
      <c r="E5" s="30">
        <f t="shared" si="1"/>
        <v>313.05066967876195</v>
      </c>
      <c r="F5" s="82">
        <f t="shared" si="2"/>
        <v>336.23427536256486</v>
      </c>
      <c r="G5" s="133">
        <v>569</v>
      </c>
      <c r="H5" s="134">
        <f t="shared" si="3"/>
        <v>60.794495373635058</v>
      </c>
      <c r="I5" s="134">
        <f t="shared" si="4"/>
        <v>55.903827745402495</v>
      </c>
      <c r="J5" s="135">
        <f t="shared" si="5"/>
        <v>65.999221819584733</v>
      </c>
      <c r="K5" s="136">
        <v>2468</v>
      </c>
      <c r="L5" s="137">
        <f t="shared" si="6"/>
        <v>263.69211701604803</v>
      </c>
      <c r="M5" s="137">
        <f t="shared" si="7"/>
        <v>253.39329716182681</v>
      </c>
      <c r="N5" s="138">
        <f t="shared" si="8"/>
        <v>274.30285229405274</v>
      </c>
    </row>
    <row r="6" spans="1:15" s="29" customFormat="1" x14ac:dyDescent="0.25">
      <c r="A6" s="45" t="s">
        <v>10</v>
      </c>
      <c r="B6" s="29">
        <v>2045</v>
      </c>
      <c r="C6" s="29">
        <v>55035</v>
      </c>
      <c r="D6" s="30">
        <f t="shared" si="0"/>
        <v>371.58172072317615</v>
      </c>
      <c r="E6" s="30">
        <f t="shared" si="1"/>
        <v>355.65467088081562</v>
      </c>
      <c r="F6" s="82">
        <f t="shared" si="2"/>
        <v>388.03955430715365</v>
      </c>
      <c r="G6" s="133">
        <v>613</v>
      </c>
      <c r="H6" s="134">
        <f t="shared" si="3"/>
        <v>111.38366494049241</v>
      </c>
      <c r="I6" s="134">
        <f t="shared" si="4"/>
        <v>102.74412432626593</v>
      </c>
      <c r="J6" s="135">
        <f t="shared" si="5"/>
        <v>120.55704621222283</v>
      </c>
      <c r="K6" s="136">
        <v>1432</v>
      </c>
      <c r="L6" s="137">
        <f t="shared" si="6"/>
        <v>260.19805578268375</v>
      </c>
      <c r="M6" s="137">
        <f t="shared" si="7"/>
        <v>246.89924618448086</v>
      </c>
      <c r="N6" s="138">
        <f t="shared" si="8"/>
        <v>274.02837065987484</v>
      </c>
    </row>
    <row r="7" spans="1:15" s="29" customFormat="1" x14ac:dyDescent="0.25">
      <c r="A7" s="45" t="s">
        <v>66</v>
      </c>
      <c r="B7" s="29">
        <v>893</v>
      </c>
      <c r="C7" s="29">
        <v>15224</v>
      </c>
      <c r="D7" s="30">
        <f t="shared" si="0"/>
        <v>586.57383079348392</v>
      </c>
      <c r="E7" s="30">
        <f t="shared" si="1"/>
        <v>548.74465130618989</v>
      </c>
      <c r="F7" s="82">
        <f t="shared" si="2"/>
        <v>626.32866604118442</v>
      </c>
      <c r="G7" s="133">
        <v>484</v>
      </c>
      <c r="H7" s="134">
        <f t="shared" si="3"/>
        <v>317.91907514450867</v>
      </c>
      <c r="I7" s="134">
        <f t="shared" si="4"/>
        <v>290.23877371263296</v>
      </c>
      <c r="J7" s="135">
        <f t="shared" si="5"/>
        <v>347.5322795929182</v>
      </c>
      <c r="K7" s="136">
        <v>409</v>
      </c>
      <c r="L7" s="137">
        <f t="shared" si="6"/>
        <v>268.65475564897531</v>
      </c>
      <c r="M7" s="137">
        <f t="shared" si="7"/>
        <v>243.26122172789979</v>
      </c>
      <c r="N7" s="138">
        <f t="shared" si="8"/>
        <v>295.98360430645727</v>
      </c>
    </row>
    <row r="8" spans="1:15" s="29" customFormat="1" x14ac:dyDescent="0.25">
      <c r="A8" s="91" t="s">
        <v>188</v>
      </c>
      <c r="B8" s="115">
        <v>128</v>
      </c>
      <c r="C8" s="115"/>
      <c r="D8" s="115"/>
      <c r="E8" s="98"/>
      <c r="F8" s="103"/>
      <c r="G8" s="139"/>
      <c r="H8" s="140"/>
      <c r="I8" s="140"/>
      <c r="J8" s="141"/>
      <c r="K8" s="142"/>
      <c r="L8" s="142"/>
      <c r="M8" s="143"/>
      <c r="N8" s="144"/>
      <c r="O8" s="145"/>
    </row>
    <row r="9" spans="1:15" ht="22.5" customHeight="1" x14ac:dyDescent="0.25">
      <c r="A9" s="146"/>
      <c r="B9" s="147"/>
      <c r="C9" s="147"/>
      <c r="D9" s="147"/>
      <c r="E9" s="148"/>
      <c r="F9" s="148"/>
      <c r="G9" s="148"/>
      <c r="H9" s="147"/>
      <c r="I9" s="147"/>
      <c r="J9" s="148"/>
      <c r="M9" s="146"/>
      <c r="N9" s="149"/>
      <c r="O9" s="1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zoomScaleNormal="100" workbookViewId="0"/>
  </sheetViews>
  <sheetFormatPr baseColWidth="10" defaultColWidth="11.5546875" defaultRowHeight="13.2" x14ac:dyDescent="0.25"/>
  <cols>
    <col min="1" max="1" width="45.5546875" style="5" bestFit="1" customWidth="1"/>
    <col min="2" max="2" width="13" style="5" customWidth="1"/>
    <col min="3" max="4" width="17.5546875" style="5" customWidth="1"/>
    <col min="5" max="5" width="12.77734375" style="5" customWidth="1"/>
    <col min="6" max="6" width="16" style="5" customWidth="1"/>
    <col min="7" max="7" width="15.5546875" style="5" bestFit="1" customWidth="1"/>
    <col min="8" max="16384" width="11.5546875" style="5"/>
  </cols>
  <sheetData>
    <row r="1" spans="1:10" s="7" customFormat="1" ht="24.75" customHeight="1" x14ac:dyDescent="0.3">
      <c r="A1" s="9" t="s">
        <v>26</v>
      </c>
      <c r="B1" s="9" t="s">
        <v>184</v>
      </c>
      <c r="C1" s="9"/>
    </row>
    <row r="2" spans="1:10" ht="39.6" x14ac:dyDescent="0.25">
      <c r="A2" s="166" t="s">
        <v>70</v>
      </c>
      <c r="B2" s="19" t="s">
        <v>32</v>
      </c>
      <c r="C2" s="19" t="s">
        <v>53</v>
      </c>
      <c r="D2" s="88" t="s">
        <v>36</v>
      </c>
      <c r="E2" s="19" t="s">
        <v>37</v>
      </c>
      <c r="F2" s="19" t="s">
        <v>38</v>
      </c>
      <c r="G2" s="155" t="s">
        <v>72</v>
      </c>
      <c r="H2" s="155" t="s">
        <v>73</v>
      </c>
      <c r="I2" s="155" t="s">
        <v>74</v>
      </c>
    </row>
    <row r="3" spans="1:10" x14ac:dyDescent="0.25">
      <c r="A3" s="157" t="s">
        <v>68</v>
      </c>
      <c r="B3" s="28">
        <v>2546</v>
      </c>
      <c r="C3" s="94">
        <v>267488</v>
      </c>
      <c r="D3" s="125">
        <f>B3/C3*10000</f>
        <v>95.181839933006344</v>
      </c>
      <c r="E3" s="95">
        <f>((SUMSQ((1.96/2)-SQRT(B3+0.02)))/C3)*10000</f>
        <v>91.521209220437939</v>
      </c>
      <c r="F3" s="95">
        <f>(((SUMSQ((1.96/2)+SQRT(B3+0.96)))/C3))*10000</f>
        <v>98.951599094196879</v>
      </c>
      <c r="G3" s="158">
        <v>31.6</v>
      </c>
      <c r="H3" s="159">
        <v>420</v>
      </c>
      <c r="I3" s="158">
        <v>16.5</v>
      </c>
      <c r="J3" s="160"/>
    </row>
    <row r="4" spans="1:10" ht="18.75" customHeight="1" x14ac:dyDescent="0.25">
      <c r="A4" s="161" t="s">
        <v>69</v>
      </c>
      <c r="B4" s="28">
        <v>464</v>
      </c>
      <c r="C4" s="23">
        <v>267488</v>
      </c>
      <c r="D4" s="30">
        <f t="shared" ref="D4:D8" si="0">B4/C4*10000</f>
        <v>17.346572556525899</v>
      </c>
      <c r="E4" s="148">
        <v>15.804813599664776</v>
      </c>
      <c r="F4" s="148">
        <v>18.998375443534478</v>
      </c>
      <c r="G4" s="158">
        <v>40.4</v>
      </c>
      <c r="H4" s="159">
        <v>243</v>
      </c>
      <c r="I4" s="158">
        <v>52.37</v>
      </c>
      <c r="J4" s="160"/>
    </row>
    <row r="5" spans="1:10" ht="19.5" customHeight="1" x14ac:dyDescent="0.25">
      <c r="A5" s="161" t="s">
        <v>196</v>
      </c>
      <c r="B5" s="28">
        <v>706</v>
      </c>
      <c r="C5" s="23">
        <v>267488</v>
      </c>
      <c r="D5" s="30">
        <f t="shared" si="0"/>
        <v>26.393707381265703</v>
      </c>
      <c r="E5" s="148">
        <v>24.483384964843072</v>
      </c>
      <c r="F5" s="148">
        <v>28.413771460724348</v>
      </c>
      <c r="G5" s="158">
        <v>78.5</v>
      </c>
      <c r="H5" s="159">
        <v>256</v>
      </c>
      <c r="I5" s="158">
        <v>36.26</v>
      </c>
      <c r="J5" s="160"/>
    </row>
    <row r="6" spans="1:10" x14ac:dyDescent="0.25">
      <c r="A6" s="161" t="s">
        <v>76</v>
      </c>
      <c r="B6" s="28">
        <v>412</v>
      </c>
      <c r="C6" s="23">
        <v>267488</v>
      </c>
      <c r="D6" s="30">
        <f t="shared" si="0"/>
        <v>15.402560114846272</v>
      </c>
      <c r="E6" s="148">
        <v>12.459550645165891</v>
      </c>
      <c r="F6" s="148">
        <v>15.315476991105802</v>
      </c>
      <c r="G6" s="158">
        <v>73.900000000000006</v>
      </c>
      <c r="H6" s="159">
        <v>83</v>
      </c>
      <c r="I6" s="158">
        <v>20.149999999999999</v>
      </c>
      <c r="J6" s="160"/>
    </row>
    <row r="7" spans="1:10" x14ac:dyDescent="0.25">
      <c r="A7" s="161" t="s">
        <v>197</v>
      </c>
      <c r="B7" s="28">
        <v>1540</v>
      </c>
      <c r="C7" s="23">
        <v>267488</v>
      </c>
      <c r="D7" s="30">
        <f t="shared" si="0"/>
        <v>57.572676157435097</v>
      </c>
      <c r="E7" s="148">
        <v>65.681649627756727</v>
      </c>
      <c r="F7" s="148">
        <v>72.003864216862794</v>
      </c>
      <c r="G7" s="158">
        <v>20</v>
      </c>
      <c r="H7" s="159">
        <v>93</v>
      </c>
      <c r="I7" s="158">
        <v>6.04</v>
      </c>
      <c r="J7" s="160"/>
    </row>
    <row r="8" spans="1:10" x14ac:dyDescent="0.25">
      <c r="A8" s="162" t="s">
        <v>195</v>
      </c>
      <c r="B8" s="115">
        <v>1196</v>
      </c>
      <c r="C8" s="89">
        <v>267488</v>
      </c>
      <c r="D8" s="114">
        <f t="shared" si="0"/>
        <v>44.712286158631414</v>
      </c>
      <c r="E8" s="98">
        <v>47.850303603638523</v>
      </c>
      <c r="F8" s="98">
        <v>53.272956432856517</v>
      </c>
      <c r="G8" s="163">
        <v>12.7</v>
      </c>
      <c r="H8" s="164">
        <v>2</v>
      </c>
      <c r="I8" s="163">
        <v>0.17</v>
      </c>
      <c r="J8" s="160"/>
    </row>
    <row r="9" spans="1:10" x14ac:dyDescent="0.25">
      <c r="A9" s="167" t="s">
        <v>71</v>
      </c>
      <c r="B9" s="148"/>
      <c r="C9" s="23"/>
      <c r="D9" s="148"/>
      <c r="E9" s="148"/>
    </row>
    <row r="10" spans="1:10" x14ac:dyDescent="0.25">
      <c r="A10" s="146"/>
      <c r="B10" s="148"/>
      <c r="C10" s="23"/>
      <c r="D10" s="148"/>
      <c r="E10" s="148"/>
    </row>
    <row r="11" spans="1:10" x14ac:dyDescent="0.25">
      <c r="A11" s="146"/>
      <c r="B11" s="148"/>
      <c r="C11" s="23"/>
      <c r="D11" s="148"/>
      <c r="E11" s="148"/>
    </row>
    <row r="12" spans="1:10" x14ac:dyDescent="0.25">
      <c r="A12" s="146"/>
      <c r="B12" s="148"/>
      <c r="C12" s="148"/>
      <c r="D12" s="148"/>
      <c r="E12" s="148"/>
    </row>
    <row r="20" spans="1:3" x14ac:dyDescent="0.25">
      <c r="A20" s="7"/>
      <c r="B20" s="7"/>
      <c r="C20" s="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Notes - A lire</vt:lpstr>
      <vt:lpstr>Données Figure 2</vt:lpstr>
      <vt:lpstr>Note Méthodologique</vt:lpstr>
      <vt:lpstr>Données Figure 3</vt:lpstr>
      <vt:lpstr>Données Figure 4</vt:lpstr>
      <vt:lpstr>Données Figure 5</vt:lpstr>
      <vt:lpstr>Données Figure 6</vt:lpstr>
      <vt:lpstr>Données Figure 7</vt:lpstr>
      <vt:lpstr>Données Tableau 2</vt:lpstr>
      <vt:lpstr>Données MCC</vt:lpstr>
      <vt:lpstr>Données Tableau 3</vt:lpstr>
      <vt:lpstr>Données Tableau 4</vt:lpstr>
      <vt:lpstr>Données Tableau 5</vt:lpstr>
      <vt:lpstr>Données Tableau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2026-05-26T14:13:48Z</dcterms:modified>
</cp:coreProperties>
</file>